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345" windowHeight="7065" activeTab="0"/>
  </bookViews>
  <sheets>
    <sheet name="Settings WL" sheetId="1" r:id="rId1"/>
    <sheet name="data ET" sheetId="2" r:id="rId2"/>
    <sheet name="Settings ET" sheetId="3" r:id="rId3"/>
    <sheet name="data WL" sheetId="4" r:id="rId4"/>
  </sheets>
  <definedNames>
    <definedName name="TABLE" localSheetId="2">#REF!</definedName>
    <definedName name="TABLE" localSheetId="0">#REF!</definedName>
  </definedNames>
  <calcPr fullCalcOnLoad="1"/>
</workbook>
</file>

<file path=xl/sharedStrings.xml><?xml version="1.0" encoding="utf-8"?>
<sst xmlns="http://schemas.openxmlformats.org/spreadsheetml/2006/main" count="256" uniqueCount="96">
  <si>
    <t>g</t>
  </si>
  <si>
    <t>cm/s</t>
  </si>
  <si>
    <t>Hincr</t>
  </si>
  <si>
    <t>Km</t>
  </si>
  <si>
    <t>Ka</t>
  </si>
  <si>
    <t>cm2</t>
  </si>
  <si>
    <t>oppervlak</t>
  </si>
  <si>
    <t>volume</t>
  </si>
  <si>
    <t>cm3</t>
  </si>
  <si>
    <t>cm</t>
  </si>
  <si>
    <t>kg/m3</t>
  </si>
  <si>
    <t>mW</t>
  </si>
  <si>
    <t>g/(g.Pa.s)</t>
  </si>
  <si>
    <t>dp(Pa)</t>
  </si>
  <si>
    <t>E gem</t>
  </si>
  <si>
    <t>Nu</t>
  </si>
  <si>
    <t>Pr</t>
  </si>
  <si>
    <t>Re</t>
  </si>
  <si>
    <t>Tvereffening</t>
  </si>
  <si>
    <t>m2/s</t>
  </si>
  <si>
    <t>Kin. Visc. Lucht</t>
  </si>
  <si>
    <t>H geleiding lucht</t>
  </si>
  <si>
    <t>W/mk</t>
  </si>
  <si>
    <t>Po</t>
  </si>
  <si>
    <t>WarmtegeleidingMAX</t>
  </si>
  <si>
    <t>WarmtegeleidingMIN</t>
  </si>
  <si>
    <t>Tcentrum</t>
  </si>
  <si>
    <t>dichtheid ei</t>
  </si>
  <si>
    <t>x (kg water/kg lucht)</t>
  </si>
  <si>
    <t>Luchtdruk</t>
  </si>
  <si>
    <t>Pa</t>
  </si>
  <si>
    <t>h (KJ/kg DL)</t>
  </si>
  <si>
    <t>dT</t>
  </si>
  <si>
    <t>(0,813)</t>
  </si>
  <si>
    <t>MT</t>
  </si>
  <si>
    <t>alpha</t>
  </si>
  <si>
    <t>straal R</t>
  </si>
  <si>
    <t>Biot</t>
  </si>
  <si>
    <t>L_egg</t>
  </si>
  <si>
    <t>L_air</t>
  </si>
  <si>
    <t>RH</t>
  </si>
  <si>
    <t>dT-abs</t>
  </si>
  <si>
    <t>effect MT</t>
  </si>
  <si>
    <t>0 of 1</t>
  </si>
  <si>
    <t>mW/egg</t>
  </si>
  <si>
    <t>egg weight (g)</t>
  </si>
  <si>
    <t>dT_d1</t>
  </si>
  <si>
    <t>T-effect</t>
  </si>
  <si>
    <t>alpha (Kashkin, 1961)</t>
  </si>
  <si>
    <t>W/(m2x°C)</t>
  </si>
  <si>
    <t>alpha (M+vB, 1993)</t>
  </si>
  <si>
    <t>-</t>
  </si>
  <si>
    <t>(0: MT=ET; 1: effect T-verschil)</t>
  </si>
  <si>
    <t>1 = ja; 0 = nee</t>
  </si>
  <si>
    <t>HP-large</t>
  </si>
  <si>
    <t>dT-HP</t>
  </si>
  <si>
    <t>dT-WL</t>
  </si>
  <si>
    <t>dT(HP-WL)</t>
  </si>
  <si>
    <t>Vp_air</t>
  </si>
  <si>
    <t>Vp_egg</t>
  </si>
  <si>
    <t>dVp</t>
  </si>
  <si>
    <t>Q-total</t>
  </si>
  <si>
    <t>Q-produced</t>
  </si>
  <si>
    <t>Q-lost</t>
  </si>
  <si>
    <t>dT-measured</t>
  </si>
  <si>
    <t>Small eggs</t>
  </si>
  <si>
    <t>Large eggs</t>
  </si>
  <si>
    <t>Unit</t>
  </si>
  <si>
    <t>Value</t>
  </si>
  <si>
    <t>Weight loss (%, calculated)</t>
  </si>
  <si>
    <t>Weight loss (% per day)</t>
  </si>
  <si>
    <t>RH (%)</t>
  </si>
  <si>
    <t>% in 18 days</t>
  </si>
  <si>
    <t>% per day</t>
  </si>
  <si>
    <t>Egg weight</t>
  </si>
  <si>
    <t>Air speed</t>
  </si>
  <si>
    <t>(to simulate HP)</t>
  </si>
  <si>
    <r>
      <t>WL.d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 xml:space="preserve"> (g)</t>
    </r>
  </si>
  <si>
    <t>HP (mW)</t>
  </si>
  <si>
    <t>HL (mW)</t>
  </si>
  <si>
    <r>
      <t xml:space="preserve">Variable ( </t>
    </r>
    <r>
      <rPr>
        <b/>
        <sz val="10"/>
        <color indexed="17"/>
        <rFont val="Arial"/>
        <family val="2"/>
      </rPr>
      <t xml:space="preserve">input </t>
    </r>
    <r>
      <rPr>
        <b/>
        <sz val="10"/>
        <rFont val="Arial"/>
        <family val="2"/>
      </rPr>
      <t>)</t>
    </r>
  </si>
  <si>
    <t>Day</t>
  </si>
  <si>
    <t>Further explanations can be found on www.hatchability.com</t>
  </si>
  <si>
    <t>All calculations are based on the papers by Lourens et al. (2011) and Meijerhof and Van Beek (1993)</t>
  </si>
  <si>
    <r>
      <t>MT (</t>
    </r>
    <r>
      <rPr>
        <b/>
        <vertAlign val="superscript"/>
        <sz val="10"/>
        <rFont val="Arial"/>
        <family val="2"/>
      </rPr>
      <t>º</t>
    </r>
    <r>
      <rPr>
        <b/>
        <sz val="10"/>
        <rFont val="Arial"/>
        <family val="2"/>
      </rPr>
      <t>C)</t>
    </r>
  </si>
  <si>
    <r>
      <t>ET (</t>
    </r>
    <r>
      <rPr>
        <b/>
        <vertAlign val="superscript"/>
        <sz val="10"/>
        <rFont val="Arial"/>
        <family val="2"/>
      </rPr>
      <t>º</t>
    </r>
    <r>
      <rPr>
        <b/>
        <sz val="10"/>
        <rFont val="Arial"/>
        <family val="2"/>
      </rPr>
      <t>C)</t>
    </r>
  </si>
  <si>
    <t xml:space="preserve">% </t>
  </si>
  <si>
    <r>
      <t xml:space="preserve">°C </t>
    </r>
    <r>
      <rPr>
        <i/>
        <sz val="10"/>
        <color indexed="10"/>
        <rFont val="Arial"/>
        <family val="2"/>
      </rPr>
      <t>Machine Temperature</t>
    </r>
  </si>
  <si>
    <t>HP-total</t>
  </si>
  <si>
    <t>CAM max day 18</t>
  </si>
  <si>
    <t>ET combi</t>
  </si>
  <si>
    <t>Variable ( input )</t>
  </si>
  <si>
    <t>°C Machine Temperature</t>
  </si>
  <si>
    <r>
      <t>MT (</t>
    </r>
    <r>
      <rPr>
        <b/>
        <vertAlign val="superscript"/>
        <sz val="10"/>
        <color indexed="9"/>
        <rFont val="Arial"/>
        <family val="2"/>
      </rPr>
      <t>º</t>
    </r>
    <r>
      <rPr>
        <b/>
        <sz val="10"/>
        <color indexed="9"/>
        <rFont val="Arial"/>
        <family val="2"/>
      </rPr>
      <t>C)</t>
    </r>
  </si>
  <si>
    <r>
      <t>WL.d</t>
    </r>
    <r>
      <rPr>
        <b/>
        <vertAlign val="superscript"/>
        <sz val="10"/>
        <color indexed="9"/>
        <rFont val="Arial"/>
        <family val="2"/>
      </rPr>
      <t>-1</t>
    </r>
    <r>
      <rPr>
        <b/>
        <sz val="10"/>
        <color indexed="9"/>
        <rFont val="Arial"/>
        <family val="2"/>
      </rPr>
      <t xml:space="preserve"> (g)</t>
    </r>
  </si>
  <si>
    <r>
      <t>ET (</t>
    </r>
    <r>
      <rPr>
        <b/>
        <vertAlign val="superscript"/>
        <sz val="10"/>
        <color indexed="9"/>
        <rFont val="Arial"/>
        <family val="2"/>
      </rPr>
      <t>º</t>
    </r>
    <r>
      <rPr>
        <b/>
        <sz val="10"/>
        <color indexed="9"/>
        <rFont val="Arial"/>
        <family val="2"/>
      </rPr>
      <t>C)</t>
    </r>
  </si>
</sst>
</file>

<file path=xl/styles.xml><?xml version="1.0" encoding="utf-8"?>
<styleSheet xmlns="http://schemas.openxmlformats.org/spreadsheetml/2006/main">
  <numFmts count="4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0.00000"/>
    <numFmt numFmtId="179" formatCode="0.0000"/>
    <numFmt numFmtId="180" formatCode="0.000"/>
    <numFmt numFmtId="181" formatCode="0.0"/>
    <numFmt numFmtId="182" formatCode="0.000000"/>
    <numFmt numFmtId="183" formatCode="0.0000000"/>
    <numFmt numFmtId="184" formatCode="0.00000000"/>
    <numFmt numFmtId="185" formatCode="0.0000E+00;\ĝ"/>
    <numFmt numFmtId="186" formatCode="0.0000E+00;\铔"/>
    <numFmt numFmtId="187" formatCode="0.000E+00;\铔"/>
    <numFmt numFmtId="188" formatCode="0.00E+00;\铔"/>
    <numFmt numFmtId="189" formatCode="0.0E+00;\铔"/>
    <numFmt numFmtId="190" formatCode="0E+00;\铔"/>
    <numFmt numFmtId="191" formatCode="0.00000E+00;\铔"/>
    <numFmt numFmtId="192" formatCode="0.000000E+00;\铔"/>
    <numFmt numFmtId="193" formatCode="0.0000000E+00;\铔"/>
    <numFmt numFmtId="194" formatCode="0.00000000E+00;\铔"/>
    <numFmt numFmtId="195" formatCode="&quot;Ja&quot;;&quot;Ja&quot;;&quot;Nee&quot;"/>
    <numFmt numFmtId="196" formatCode="&quot;Waar&quot;;&quot;Waar&quot;;&quot;Niet waar&quot;"/>
    <numFmt numFmtId="197" formatCode="&quot;Aan&quot;;&quot;Aan&quot;;&quot;Uit&quot;"/>
    <numFmt numFmtId="198" formatCode="0.0000000000"/>
    <numFmt numFmtId="199" formatCode="0.0E+00"/>
    <numFmt numFmtId="200" formatCode="0E+00"/>
    <numFmt numFmtId="201" formatCode="0.000E+00"/>
    <numFmt numFmtId="202" formatCode="0.0000E+00"/>
    <numFmt numFmtId="203" formatCode="0.00000E+00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vertAlign val="superscript"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0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.25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i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/>
    </xf>
    <xf numFmtId="9" fontId="0" fillId="33" borderId="0" xfId="0" applyNumberFormat="1" applyFill="1" applyBorder="1" applyAlignment="1">
      <alignment/>
    </xf>
    <xf numFmtId="181" fontId="0" fillId="33" borderId="0" xfId="0" applyNumberFormat="1" applyFill="1" applyBorder="1" applyAlignment="1">
      <alignment/>
    </xf>
    <xf numFmtId="181" fontId="51" fillId="33" borderId="0" xfId="0" applyNumberFormat="1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181" fontId="0" fillId="33" borderId="0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 horizontal="center"/>
    </xf>
    <xf numFmtId="180" fontId="0" fillId="33" borderId="0" xfId="0" applyNumberFormat="1" applyFill="1" applyBorder="1" applyAlignment="1">
      <alignment/>
    </xf>
    <xf numFmtId="179" fontId="0" fillId="33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2" fontId="1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1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181" fontId="51" fillId="4" borderId="0" xfId="0" applyNumberFormat="1" applyFont="1" applyFill="1" applyBorder="1" applyAlignment="1">
      <alignment horizontal="center"/>
    </xf>
    <xf numFmtId="1" fontId="51" fillId="4" borderId="0" xfId="0" applyNumberFormat="1" applyFont="1" applyFill="1" applyBorder="1" applyAlignment="1">
      <alignment horizontal="center"/>
    </xf>
    <xf numFmtId="2" fontId="5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/>
    </xf>
    <xf numFmtId="181" fontId="52" fillId="33" borderId="0" xfId="0" applyNumberFormat="1" applyFont="1" applyFill="1" applyBorder="1" applyAlignment="1">
      <alignment/>
    </xf>
    <xf numFmtId="9" fontId="52" fillId="33" borderId="0" xfId="0" applyNumberFormat="1" applyFont="1" applyFill="1" applyBorder="1" applyAlignment="1">
      <alignment/>
    </xf>
    <xf numFmtId="2" fontId="52" fillId="33" borderId="0" xfId="0" applyNumberFormat="1" applyFont="1" applyFill="1" applyBorder="1" applyAlignment="1">
      <alignment/>
    </xf>
    <xf numFmtId="0" fontId="53" fillId="33" borderId="0" xfId="0" applyFont="1" applyFill="1" applyBorder="1" applyAlignment="1">
      <alignment horizontal="right"/>
    </xf>
    <xf numFmtId="0" fontId="53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181" fontId="53" fillId="33" borderId="0" xfId="0" applyNumberFormat="1" applyFont="1" applyFill="1" applyBorder="1" applyAlignment="1">
      <alignment horizontal="center"/>
    </xf>
    <xf numFmtId="2" fontId="52" fillId="33" borderId="0" xfId="0" applyNumberFormat="1" applyFont="1" applyFill="1" applyBorder="1" applyAlignment="1">
      <alignment horizontal="center"/>
    </xf>
    <xf numFmtId="181" fontId="52" fillId="33" borderId="0" xfId="0" applyNumberFormat="1" applyFont="1" applyFill="1" applyBorder="1" applyAlignment="1">
      <alignment horizontal="center"/>
    </xf>
    <xf numFmtId="1" fontId="52" fillId="33" borderId="0" xfId="0" applyNumberFormat="1" applyFont="1" applyFill="1" applyBorder="1" applyAlignment="1">
      <alignment/>
    </xf>
    <xf numFmtId="1" fontId="52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180" fontId="52" fillId="33" borderId="0" xfId="0" applyNumberFormat="1" applyFont="1" applyFill="1" applyBorder="1" applyAlignment="1">
      <alignment/>
    </xf>
    <xf numFmtId="179" fontId="52" fillId="33" borderId="0" xfId="0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1" fontId="53" fillId="33" borderId="0" xfId="0" applyNumberFormat="1" applyFont="1" applyFill="1" applyBorder="1" applyAlignment="1">
      <alignment horizontal="center"/>
    </xf>
    <xf numFmtId="2" fontId="53" fillId="33" borderId="0" xfId="0" applyNumberFormat="1" applyFont="1" applyFill="1" applyBorder="1" applyAlignment="1">
      <alignment horizontal="center"/>
    </xf>
    <xf numFmtId="0" fontId="52" fillId="33" borderId="0" xfId="0" applyFont="1" applyFill="1" applyAlignment="1">
      <alignment/>
    </xf>
    <xf numFmtId="2" fontId="52" fillId="33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1" fontId="52" fillId="33" borderId="0" xfId="0" applyNumberFormat="1" applyFont="1" applyFill="1" applyAlignment="1">
      <alignment/>
    </xf>
    <xf numFmtId="183" fontId="52" fillId="33" borderId="0" xfId="0" applyNumberFormat="1" applyFont="1" applyFill="1" applyAlignment="1">
      <alignment/>
    </xf>
    <xf numFmtId="180" fontId="52" fillId="33" borderId="0" xfId="0" applyNumberFormat="1" applyFont="1" applyFill="1" applyAlignment="1">
      <alignment/>
    </xf>
    <xf numFmtId="179" fontId="52" fillId="33" borderId="0" xfId="0" applyNumberFormat="1" applyFont="1" applyFill="1" applyAlignment="1">
      <alignment/>
    </xf>
    <xf numFmtId="181" fontId="52" fillId="33" borderId="0" xfId="0" applyNumberFormat="1" applyFont="1" applyFill="1" applyAlignment="1">
      <alignment/>
    </xf>
    <xf numFmtId="0" fontId="52" fillId="33" borderId="0" xfId="0" applyFont="1" applyFill="1" applyAlignment="1" quotePrefix="1">
      <alignment/>
    </xf>
    <xf numFmtId="0" fontId="0" fillId="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"/>
          <c:y val="0.0975"/>
          <c:w val="0.76"/>
          <c:h val="0.79875"/>
        </c:manualLayout>
      </c:layout>
      <c:scatterChart>
        <c:scatterStyle val="smoothMarker"/>
        <c:varyColors val="0"/>
        <c:ser>
          <c:idx val="2"/>
          <c:order val="1"/>
          <c:tx>
            <c:strRef>
              <c:f>'Settings WL'!$C$15</c:f>
              <c:strCache>
                <c:ptCount val="1"/>
                <c:pt idx="0">
                  <c:v>MT (ºC)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'Settings WL'!$A$16:$A$37</c:f>
              <c:numCache/>
            </c:numRef>
          </c:xVal>
          <c:yVal>
            <c:numRef>
              <c:f>'Settings WL'!$C$16:$C$37</c:f>
              <c:numCache/>
            </c:numRef>
          </c:yVal>
          <c:smooth val="1"/>
        </c:ser>
        <c:ser>
          <c:idx val="0"/>
          <c:order val="2"/>
          <c:tx>
            <c:strRef>
              <c:f>'Settings WL'!$G$15</c:f>
              <c:strCache>
                <c:ptCount val="1"/>
                <c:pt idx="0">
                  <c:v>ET (ºC)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'Settings WL'!$A$16:$A$37</c:f>
              <c:numCache/>
            </c:numRef>
          </c:xVal>
          <c:yVal>
            <c:numRef>
              <c:f>'Settings WL'!$G$16:$G$37</c:f>
              <c:numCache/>
            </c:numRef>
          </c:yVal>
          <c:smooth val="1"/>
        </c:ser>
        <c:axId val="45679946"/>
        <c:axId val="8466331"/>
      </c:scatterChart>
      <c:scatterChart>
        <c:scatterStyle val="smoothMarker"/>
        <c:varyColors val="0"/>
        <c:ser>
          <c:idx val="1"/>
          <c:order val="0"/>
          <c:tx>
            <c:strRef>
              <c:f>'Settings WL'!$B$15</c:f>
              <c:strCache>
                <c:ptCount val="1"/>
                <c:pt idx="0">
                  <c:v>RH (%)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'Settings WL'!$A$16:$A$37</c:f>
              <c:numCache/>
            </c:numRef>
          </c:xVal>
          <c:yVal>
            <c:numRef>
              <c:f>'Settings WL'!$B$16:$B$37</c:f>
              <c:numCache/>
            </c:numRef>
          </c:yVal>
          <c:smooth val="1"/>
        </c:ser>
        <c:axId val="9088116"/>
        <c:axId val="14684181"/>
      </c:scatterChart>
      <c:valAx>
        <c:axId val="45679946"/>
        <c:scaling>
          <c:orientation val="minMax"/>
          <c:max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(d)</a:t>
                </a:r>
              </a:p>
            </c:rich>
          </c:tx>
          <c:layout>
            <c:manualLayout>
              <c:xMode val="factor"/>
              <c:yMode val="factor"/>
              <c:x val="-0.021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8466331"/>
        <c:crossesAt val="-1"/>
        <c:crossBetween val="midCat"/>
        <c:dispUnits/>
        <c:majorUnit val="3"/>
      </c:valAx>
      <c:valAx>
        <c:axId val="8466331"/>
        <c:scaling>
          <c:orientation val="minMax"/>
          <c:max val="40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265"/>
              <c:y val="0.05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5679946"/>
        <c:crosses val="autoZero"/>
        <c:crossBetween val="midCat"/>
        <c:dispUnits/>
        <c:majorUnit val="0.5"/>
      </c:valAx>
      <c:valAx>
        <c:axId val="9088116"/>
        <c:scaling>
          <c:orientation val="minMax"/>
        </c:scaling>
        <c:axPos val="b"/>
        <c:delete val="1"/>
        <c:majorTickMark val="out"/>
        <c:minorTickMark val="none"/>
        <c:tickLblPos val="nextTo"/>
        <c:crossAx val="14684181"/>
        <c:crosses val="max"/>
        <c:crossBetween val="midCat"/>
        <c:dispUnits/>
      </c:valAx>
      <c:valAx>
        <c:axId val="14684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Humidity (%)
</a:t>
                </a:r>
              </a:p>
            </c:rich>
          </c:tx>
          <c:layout>
            <c:manualLayout>
              <c:xMode val="factor"/>
              <c:yMode val="factor"/>
              <c:x val="-0.0185"/>
              <c:y val="0.04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88116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7"/>
          <c:y val="0"/>
          <c:w val="0.56575"/>
          <c:h val="0.12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13</xdr:row>
      <xdr:rowOff>19050</xdr:rowOff>
    </xdr:from>
    <xdr:to>
      <xdr:col>15</xdr:col>
      <xdr:colOff>381000</xdr:colOff>
      <xdr:row>37</xdr:row>
      <xdr:rowOff>47625</xdr:rowOff>
    </xdr:to>
    <xdr:graphicFrame>
      <xdr:nvGraphicFramePr>
        <xdr:cNvPr id="1" name="Chart 24"/>
        <xdr:cNvGraphicFramePr/>
      </xdr:nvGraphicFramePr>
      <xdr:xfrm>
        <a:off x="6029325" y="2124075"/>
        <a:ext cx="56578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6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24.28125" style="1" bestFit="1" customWidth="1"/>
    <col min="2" max="2" width="8.00390625" style="1" customWidth="1"/>
    <col min="3" max="3" width="12.00390625" style="1" bestFit="1" customWidth="1"/>
    <col min="4" max="4" width="10.00390625" style="1" customWidth="1"/>
    <col min="5" max="5" width="10.8515625" style="1" customWidth="1"/>
    <col min="6" max="6" width="9.421875" style="1" customWidth="1"/>
    <col min="7" max="7" width="10.57421875" style="1" bestFit="1" customWidth="1"/>
    <col min="8" max="8" width="11.421875" style="1" bestFit="1" customWidth="1"/>
    <col min="9" max="9" width="9.28125" style="1" customWidth="1"/>
    <col min="10" max="10" width="7.57421875" style="1" bestFit="1" customWidth="1"/>
    <col min="11" max="11" width="9.140625" style="1" customWidth="1"/>
    <col min="12" max="12" width="12.00390625" style="1" bestFit="1" customWidth="1"/>
    <col min="13" max="13" width="9.140625" style="1" customWidth="1"/>
    <col min="14" max="14" width="12.57421875" style="1" bestFit="1" customWidth="1"/>
    <col min="15" max="15" width="13.28125" style="1" bestFit="1" customWidth="1"/>
    <col min="16" max="16" width="11.7109375" style="1" customWidth="1"/>
    <col min="17" max="17" width="11.140625" style="1" customWidth="1"/>
    <col min="18" max="18" width="8.57421875" style="1" customWidth="1"/>
    <col min="19" max="20" width="9.140625" style="1" customWidth="1"/>
    <col min="21" max="21" width="9.7109375" style="1" bestFit="1" customWidth="1"/>
    <col min="22" max="23" width="9.140625" style="1" customWidth="1"/>
    <col min="24" max="24" width="13.140625" style="1" bestFit="1" customWidth="1"/>
    <col min="25" max="25" width="9.140625" style="1" customWidth="1"/>
    <col min="26" max="26" width="13.140625" style="1" bestFit="1" customWidth="1"/>
    <col min="27" max="16384" width="9.140625" style="1" customWidth="1"/>
  </cols>
  <sheetData>
    <row r="1" ht="12.75">
      <c r="A1" s="1" t="s">
        <v>83</v>
      </c>
    </row>
    <row r="2" ht="12.75">
      <c r="A2" s="1" t="s">
        <v>82</v>
      </c>
    </row>
    <row r="4" spans="1:7" ht="12.75">
      <c r="A4" s="20" t="s">
        <v>80</v>
      </c>
      <c r="B4" s="20" t="s">
        <v>68</v>
      </c>
      <c r="C4" s="21" t="s">
        <v>67</v>
      </c>
      <c r="D4" s="17"/>
      <c r="E4" s="17"/>
      <c r="F4" s="17"/>
      <c r="G4" s="17"/>
    </row>
    <row r="5" spans="1:55" ht="12.75">
      <c r="A5" s="17" t="s">
        <v>2</v>
      </c>
      <c r="B5" s="22">
        <v>1.2</v>
      </c>
      <c r="C5" s="19" t="s">
        <v>51</v>
      </c>
      <c r="D5" s="56" t="s">
        <v>76</v>
      </c>
      <c r="E5" s="17"/>
      <c r="F5" s="17"/>
      <c r="G5" s="17"/>
      <c r="AR5" s="4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1:55" ht="12.75">
      <c r="A6" s="23" t="s">
        <v>74</v>
      </c>
      <c r="B6" s="24">
        <v>60</v>
      </c>
      <c r="C6" s="19" t="s">
        <v>0</v>
      </c>
      <c r="D6" s="17"/>
      <c r="E6" s="17"/>
      <c r="F6" s="17"/>
      <c r="G6" s="17"/>
      <c r="O6" s="7"/>
      <c r="P6" s="7"/>
      <c r="Q6" s="7"/>
      <c r="R6" s="7"/>
      <c r="S6" s="7"/>
      <c r="T6" s="7"/>
      <c r="Z6" s="7"/>
      <c r="AF6" s="7"/>
      <c r="AG6" s="7"/>
      <c r="AH6" s="7"/>
      <c r="AI6" s="7"/>
      <c r="AJ6" s="7"/>
      <c r="AR6" s="4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12.75">
      <c r="A7" s="23" t="s">
        <v>75</v>
      </c>
      <c r="B7" s="25">
        <v>10</v>
      </c>
      <c r="C7" s="19" t="s">
        <v>1</v>
      </c>
      <c r="D7" s="17"/>
      <c r="E7" s="17"/>
      <c r="F7" s="17"/>
      <c r="G7" s="17"/>
      <c r="O7" s="7"/>
      <c r="P7" s="7"/>
      <c r="Q7" s="7"/>
      <c r="R7" s="7"/>
      <c r="S7" s="7"/>
      <c r="T7" s="7"/>
      <c r="Z7" s="7"/>
      <c r="AF7" s="7"/>
      <c r="AG7" s="7"/>
      <c r="AH7" s="7"/>
      <c r="AI7" s="7"/>
      <c r="AJ7" s="7"/>
      <c r="AR7" s="4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55" ht="12.75">
      <c r="A8" s="17"/>
      <c r="B8" s="22"/>
      <c r="C8" s="19"/>
      <c r="D8" s="17"/>
      <c r="E8" s="17"/>
      <c r="F8" s="17"/>
      <c r="G8" s="17"/>
      <c r="O8" s="7"/>
      <c r="P8" s="7"/>
      <c r="Q8" s="7"/>
      <c r="R8" s="7"/>
      <c r="S8" s="7"/>
      <c r="T8" s="7"/>
      <c r="Z8" s="7"/>
      <c r="AF8" s="7"/>
      <c r="AG8" s="7"/>
      <c r="AH8" s="7"/>
      <c r="AI8" s="7"/>
      <c r="AJ8" s="7"/>
      <c r="AR8" s="4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</row>
    <row r="9" spans="1:55" ht="12.75">
      <c r="A9" s="17" t="s">
        <v>34</v>
      </c>
      <c r="B9" s="26">
        <v>37.8</v>
      </c>
      <c r="C9" s="19" t="s">
        <v>87</v>
      </c>
      <c r="D9" s="17"/>
      <c r="E9" s="17"/>
      <c r="F9" s="17"/>
      <c r="G9" s="17"/>
      <c r="O9" s="7"/>
      <c r="P9" s="7"/>
      <c r="Q9" s="7"/>
      <c r="R9" s="7"/>
      <c r="S9" s="7"/>
      <c r="T9" s="7"/>
      <c r="Z9" s="7"/>
      <c r="AF9" s="7"/>
      <c r="AG9" s="7"/>
      <c r="AH9" s="7"/>
      <c r="AI9" s="7"/>
      <c r="AJ9" s="7"/>
      <c r="AR9" s="4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ht="12.75">
      <c r="A10" s="17" t="s">
        <v>40</v>
      </c>
      <c r="B10" s="22">
        <f>'Settings ET'!B10</f>
        <v>55</v>
      </c>
      <c r="C10" s="19" t="s">
        <v>86</v>
      </c>
      <c r="D10" s="17"/>
      <c r="E10" s="17"/>
      <c r="F10" s="17"/>
      <c r="G10" s="17"/>
      <c r="O10" s="7"/>
      <c r="P10" s="7"/>
      <c r="Q10" s="7"/>
      <c r="R10" s="7"/>
      <c r="S10" s="7"/>
      <c r="T10" s="7"/>
      <c r="Z10" s="7"/>
      <c r="AF10" s="7"/>
      <c r="AG10" s="7"/>
      <c r="AH10" s="7"/>
      <c r="AI10" s="7"/>
      <c r="AJ10" s="7"/>
      <c r="AR10" s="4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</row>
    <row r="11" spans="1:55" ht="12.75">
      <c r="A11" s="17"/>
      <c r="B11" s="27"/>
      <c r="C11" s="19"/>
      <c r="D11" s="17"/>
      <c r="E11" s="17"/>
      <c r="F11" s="17"/>
      <c r="G11" s="17"/>
      <c r="O11" s="7"/>
      <c r="P11" s="7"/>
      <c r="Q11" s="7"/>
      <c r="R11" s="7"/>
      <c r="S11" s="7"/>
      <c r="T11" s="7"/>
      <c r="Z11" s="7"/>
      <c r="AF11" s="7"/>
      <c r="AG11" s="7"/>
      <c r="AH11" s="7"/>
      <c r="AI11" s="7"/>
      <c r="AJ11" s="7"/>
      <c r="AR11" s="4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</row>
    <row r="12" spans="1:55" ht="12.75">
      <c r="A12" s="17" t="s">
        <v>69</v>
      </c>
      <c r="B12" s="18">
        <f>SUM(D17:D32)/B6*100</f>
        <v>9.541537639258529</v>
      </c>
      <c r="C12" s="19" t="s">
        <v>72</v>
      </c>
      <c r="D12" s="17"/>
      <c r="E12" s="17"/>
      <c r="F12" s="17"/>
      <c r="G12" s="17"/>
      <c r="O12" s="7"/>
      <c r="P12" s="7"/>
      <c r="Q12" s="7"/>
      <c r="R12" s="7"/>
      <c r="S12" s="7"/>
      <c r="T12" s="7"/>
      <c r="Z12" s="7"/>
      <c r="AF12" s="7"/>
      <c r="AG12" s="7"/>
      <c r="AH12" s="7"/>
      <c r="AI12" s="7"/>
      <c r="AJ12" s="7"/>
      <c r="AR12" s="4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4" ht="12.75">
      <c r="A13" s="17" t="s">
        <v>70</v>
      </c>
      <c r="B13" s="18">
        <f>B12/18</f>
        <v>0.5300854244032516</v>
      </c>
      <c r="C13" s="19" t="s">
        <v>73</v>
      </c>
      <c r="D13" s="17"/>
      <c r="E13" s="17"/>
      <c r="F13" s="17"/>
      <c r="G13" s="17"/>
      <c r="O13" s="7"/>
      <c r="P13" s="7"/>
      <c r="Q13" s="7"/>
      <c r="R13" s="7"/>
      <c r="S13" s="7"/>
      <c r="T13" s="7"/>
      <c r="Z13" s="7"/>
      <c r="AF13" s="7"/>
      <c r="AG13" s="7"/>
      <c r="AH13" s="7"/>
      <c r="AI13" s="7"/>
      <c r="AJ13" s="7"/>
      <c r="AR13" s="4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5:54" ht="12.75">
      <c r="O14" s="7"/>
      <c r="P14" s="7"/>
      <c r="Q14" s="7"/>
      <c r="R14" s="7"/>
      <c r="S14" s="7"/>
      <c r="T14" s="7"/>
      <c r="Z14" s="7"/>
      <c r="AF14" s="7"/>
      <c r="AG14" s="7"/>
      <c r="AH14" s="7"/>
      <c r="AI14" s="7"/>
      <c r="AJ14" s="7"/>
      <c r="AR14" s="4"/>
      <c r="AS14" s="5"/>
      <c r="AT14" s="5"/>
      <c r="AU14" s="5"/>
      <c r="AV14" s="5"/>
      <c r="AW14" s="5"/>
      <c r="AX14" s="5"/>
      <c r="AY14" s="5"/>
      <c r="AZ14" s="5"/>
      <c r="BA14" s="5"/>
      <c r="BB14" s="5"/>
    </row>
    <row r="15" spans="1:54" ht="14.25">
      <c r="A15" s="9" t="s">
        <v>81</v>
      </c>
      <c r="B15" s="8" t="s">
        <v>71</v>
      </c>
      <c r="C15" s="8" t="s">
        <v>84</v>
      </c>
      <c r="D15" s="8" t="s">
        <v>77</v>
      </c>
      <c r="E15" s="8" t="s">
        <v>78</v>
      </c>
      <c r="F15" s="8" t="s">
        <v>79</v>
      </c>
      <c r="G15" s="8" t="s">
        <v>85</v>
      </c>
      <c r="O15" s="7"/>
      <c r="P15" s="7"/>
      <c r="Q15" s="7"/>
      <c r="R15" s="7"/>
      <c r="S15" s="7"/>
      <c r="T15" s="7"/>
      <c r="Z15" s="7"/>
      <c r="AF15" s="7"/>
      <c r="AG15" s="7"/>
      <c r="AH15" s="7"/>
      <c r="AI15" s="7"/>
      <c r="AJ15" s="7"/>
      <c r="AR15" s="4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1:54" ht="12.75">
      <c r="A16" s="1">
        <v>0</v>
      </c>
      <c r="B16" s="10"/>
      <c r="C16" s="10"/>
      <c r="D16" s="10"/>
      <c r="E16" s="10"/>
      <c r="F16" s="10"/>
      <c r="G16" s="10"/>
      <c r="O16" s="7"/>
      <c r="P16" s="7"/>
      <c r="Q16" s="7"/>
      <c r="R16" s="7"/>
      <c r="S16" s="7"/>
      <c r="T16" s="7"/>
      <c r="Z16" s="7"/>
      <c r="AF16" s="7"/>
      <c r="AG16" s="7"/>
      <c r="AH16" s="7"/>
      <c r="AI16" s="7"/>
      <c r="AJ16" s="7"/>
      <c r="AR16" s="4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1:55" ht="12.75">
      <c r="A17" s="1">
        <v>1</v>
      </c>
      <c r="B17" s="6">
        <f>B10</f>
        <v>55</v>
      </c>
      <c r="C17" s="6">
        <f>B9</f>
        <v>37.8</v>
      </c>
      <c r="D17" s="11">
        <f>'data WL'!$C$14*$B$6*'data WL'!L5*24*60*60</f>
        <v>0.3578076614721949</v>
      </c>
      <c r="E17" s="12">
        <f>'data WL'!AN5*$B$5/70.4*$B$6</f>
        <v>0.25956228146719146</v>
      </c>
      <c r="F17" s="12">
        <f aca="true" t="shared" si="0" ref="F17:F34">-(D17)/(24*60*60)*2.5*10^6</f>
        <v>-10.35323094537601</v>
      </c>
      <c r="G17" s="11">
        <f>'data WL'!AK31</f>
        <v>37.66058329833857</v>
      </c>
      <c r="O17" s="7"/>
      <c r="P17" s="7"/>
      <c r="Q17" s="7"/>
      <c r="R17" s="7"/>
      <c r="S17" s="7"/>
      <c r="T17" s="7"/>
      <c r="Z17" s="7"/>
      <c r="AF17" s="7"/>
      <c r="AG17" s="7"/>
      <c r="AH17" s="7"/>
      <c r="AI17" s="7"/>
      <c r="AJ17" s="7"/>
      <c r="AR17" s="4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ht="12.75">
      <c r="A18" s="1">
        <v>2</v>
      </c>
      <c r="B18" s="6">
        <f aca="true" t="shared" si="1" ref="B18:C34">B17</f>
        <v>55</v>
      </c>
      <c r="C18" s="6">
        <f>C17</f>
        <v>37.8</v>
      </c>
      <c r="D18" s="11">
        <f>'data WL'!$C$14*$B$6*'data WL'!L6*24*60*60</f>
        <v>0.3578076614721949</v>
      </c>
      <c r="E18" s="12">
        <f>'data WL'!AN6*$B$5/70.4*$B$6</f>
        <v>1.1414950202791998</v>
      </c>
      <c r="F18" s="12">
        <f>-(D18)/(24*60*60)*2.5*10^6</f>
        <v>-10.35323094537601</v>
      </c>
      <c r="G18" s="11">
        <f>'data WL'!AK32</f>
        <v>37.672580818104564</v>
      </c>
      <c r="O18" s="7"/>
      <c r="P18" s="7"/>
      <c r="Q18" s="7"/>
      <c r="R18" s="7"/>
      <c r="S18" s="7"/>
      <c r="T18" s="7"/>
      <c r="Z18" s="7"/>
      <c r="AF18" s="7"/>
      <c r="AG18" s="7"/>
      <c r="AH18" s="7"/>
      <c r="AI18" s="7"/>
      <c r="AJ18" s="7"/>
      <c r="AR18" s="4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ht="12.75">
      <c r="A19" s="1">
        <v>3</v>
      </c>
      <c r="B19" s="6">
        <f t="shared" si="1"/>
        <v>55</v>
      </c>
      <c r="C19" s="6">
        <f t="shared" si="1"/>
        <v>37.8</v>
      </c>
      <c r="D19" s="11">
        <f>'data WL'!$C$14*$B$6*'data WL'!L7*24*60*60</f>
        <v>0.3578076614721949</v>
      </c>
      <c r="E19" s="12">
        <f>'data WL'!AN7*$B$5/70.4*$B$6</f>
        <v>1.0069966808401607</v>
      </c>
      <c r="F19" s="12">
        <f t="shared" si="0"/>
        <v>-10.35323094537601</v>
      </c>
      <c r="G19" s="11">
        <f>'data WL'!AK33</f>
        <v>37.67060471377749</v>
      </c>
      <c r="O19" s="7"/>
      <c r="P19" s="7"/>
      <c r="Q19" s="7"/>
      <c r="R19" s="7"/>
      <c r="S19" s="7"/>
      <c r="T19" s="7"/>
      <c r="Z19" s="7"/>
      <c r="AF19" s="7"/>
      <c r="AG19" s="7"/>
      <c r="AH19" s="7"/>
      <c r="AI19" s="7"/>
      <c r="AJ19" s="7"/>
      <c r="AY19" s="5"/>
      <c r="AZ19" s="5"/>
      <c r="BA19" s="5"/>
      <c r="BB19" s="5"/>
      <c r="BC19" s="5"/>
    </row>
    <row r="20" spans="1:49" ht="12.75">
      <c r="A20" s="1">
        <v>4</v>
      </c>
      <c r="B20" s="6">
        <f t="shared" si="1"/>
        <v>55</v>
      </c>
      <c r="C20" s="6">
        <f t="shared" si="1"/>
        <v>37.8</v>
      </c>
      <c r="D20" s="11">
        <f>'data WL'!$C$14*$B$6*'data WL'!L8*24*60*60</f>
        <v>0.3578076614721949</v>
      </c>
      <c r="E20" s="12">
        <f>'data WL'!AN8*$B$5/70.4*$B$6</f>
        <v>2.552426901292757</v>
      </c>
      <c r="F20" s="12">
        <f t="shared" si="0"/>
        <v>-10.35323094537601</v>
      </c>
      <c r="G20" s="11">
        <f>'data WL'!AK34</f>
        <v>37.69242861182446</v>
      </c>
      <c r="O20" s="7"/>
      <c r="P20" s="7"/>
      <c r="Q20" s="7"/>
      <c r="R20" s="7"/>
      <c r="S20" s="7"/>
      <c r="T20" s="7"/>
      <c r="Z20" s="7"/>
      <c r="AF20" s="7"/>
      <c r="AG20" s="7"/>
      <c r="AH20" s="7"/>
      <c r="AI20" s="7"/>
      <c r="AJ20" s="7"/>
      <c r="AS20" s="5"/>
      <c r="AT20" s="5"/>
      <c r="AU20" s="5"/>
      <c r="AV20" s="5"/>
      <c r="AW20" s="5"/>
    </row>
    <row r="21" spans="1:44" ht="12.75">
      <c r="A21" s="1">
        <v>5</v>
      </c>
      <c r="B21" s="6">
        <f t="shared" si="1"/>
        <v>55</v>
      </c>
      <c r="C21" s="6">
        <f t="shared" si="1"/>
        <v>37.8</v>
      </c>
      <c r="D21" s="11">
        <f>'data WL'!$C$14*$B$6*'data WL'!L9*24*60*60</f>
        <v>0.3578076614721949</v>
      </c>
      <c r="E21" s="12">
        <f>'data WL'!AN9*$B$5/70.4*$B$6</f>
        <v>4.133693465413095</v>
      </c>
      <c r="F21" s="12">
        <f t="shared" si="0"/>
        <v>-10.35323094537601</v>
      </c>
      <c r="G21" s="11">
        <f>'data WL'!AK35</f>
        <v>37.711271218801016</v>
      </c>
      <c r="O21" s="7"/>
      <c r="P21" s="7"/>
      <c r="Q21" s="7"/>
      <c r="R21" s="7"/>
      <c r="S21" s="7"/>
      <c r="T21" s="7"/>
      <c r="Z21" s="7"/>
      <c r="AF21" s="7"/>
      <c r="AG21" s="7"/>
      <c r="AH21" s="7"/>
      <c r="AI21" s="7"/>
      <c r="AJ21" s="7"/>
      <c r="AR21" s="13"/>
    </row>
    <row r="22" spans="1:44" ht="12.75">
      <c r="A22" s="1">
        <v>6</v>
      </c>
      <c r="B22" s="6">
        <f t="shared" si="1"/>
        <v>55</v>
      </c>
      <c r="C22" s="6">
        <f t="shared" si="1"/>
        <v>37.8</v>
      </c>
      <c r="D22" s="11">
        <f>'data WL'!$C$14*$B$6*'data WL'!L10*24*60*60</f>
        <v>0.3578076614721949</v>
      </c>
      <c r="E22" s="12">
        <f>'data WL'!AN10*$B$5/70.4*$B$6</f>
        <v>6.283974253778496</v>
      </c>
      <c r="F22" s="12">
        <f t="shared" si="0"/>
        <v>-10.35323094537601</v>
      </c>
      <c r="G22" s="11">
        <f>'data WL'!AK36</f>
        <v>37.73503649174269</v>
      </c>
      <c r="O22" s="7"/>
      <c r="P22" s="7"/>
      <c r="Q22" s="7"/>
      <c r="R22" s="7"/>
      <c r="S22" s="7"/>
      <c r="T22" s="7"/>
      <c r="W22" s="7"/>
      <c r="X22" s="7"/>
      <c r="Y22" s="7"/>
      <c r="Z22" s="7"/>
      <c r="AA22" s="7"/>
      <c r="AB22" s="7"/>
      <c r="AE22" s="7"/>
      <c r="AF22" s="7"/>
      <c r="AG22" s="7"/>
      <c r="AH22" s="7"/>
      <c r="AI22" s="7"/>
      <c r="AJ22" s="7"/>
      <c r="AR22" s="13"/>
    </row>
    <row r="23" spans="1:44" ht="12.75">
      <c r="A23" s="1">
        <v>7</v>
      </c>
      <c r="B23" s="6">
        <f t="shared" si="1"/>
        <v>55</v>
      </c>
      <c r="C23" s="6">
        <f t="shared" si="1"/>
        <v>37.8</v>
      </c>
      <c r="D23" s="11">
        <f>'data WL'!$C$14*$B$6*'data WL'!L11*24*60*60</f>
        <v>0.3578076614721949</v>
      </c>
      <c r="E23" s="12">
        <f>'data WL'!AN11*$B$5/70.4*$B$6</f>
        <v>8.053726979868891</v>
      </c>
      <c r="F23" s="12">
        <f t="shared" si="0"/>
        <v>-10.35323094537601</v>
      </c>
      <c r="G23" s="11">
        <f>'data WL'!AK37</f>
        <v>37.75312112239554</v>
      </c>
      <c r="O23" s="7"/>
      <c r="P23" s="7"/>
      <c r="Q23" s="7"/>
      <c r="R23" s="7"/>
      <c r="S23" s="7"/>
      <c r="T23" s="7"/>
      <c r="W23" s="7"/>
      <c r="X23" s="7"/>
      <c r="Y23" s="7"/>
      <c r="Z23" s="7"/>
      <c r="AA23" s="7"/>
      <c r="AB23" s="7"/>
      <c r="AE23" s="7"/>
      <c r="AF23" s="7"/>
      <c r="AG23" s="7"/>
      <c r="AH23" s="7"/>
      <c r="AI23" s="7"/>
      <c r="AJ23" s="7"/>
      <c r="AR23" s="13"/>
    </row>
    <row r="24" spans="1:44" ht="12.75">
      <c r="A24" s="1">
        <v>8</v>
      </c>
      <c r="B24" s="6">
        <f t="shared" si="1"/>
        <v>55</v>
      </c>
      <c r="C24" s="6">
        <f t="shared" si="1"/>
        <v>37.8</v>
      </c>
      <c r="D24" s="11">
        <f>'data WL'!$C$14*$B$6*'data WL'!L12*24*60*60</f>
        <v>0.3578076614721949</v>
      </c>
      <c r="E24" s="12">
        <f>'data WL'!AN12*$B$5/70.4*$B$6</f>
        <v>11.411535639357679</v>
      </c>
      <c r="F24" s="12">
        <f t="shared" si="0"/>
        <v>-10.35323094537601</v>
      </c>
      <c r="G24" s="11">
        <f>'data WL'!AK38</f>
        <v>37.78783580696728</v>
      </c>
      <c r="O24" s="7"/>
      <c r="P24" s="7"/>
      <c r="Q24" s="7"/>
      <c r="R24" s="7"/>
      <c r="S24" s="7"/>
      <c r="T24" s="7"/>
      <c r="W24" s="7"/>
      <c r="X24" s="7"/>
      <c r="Y24" s="7"/>
      <c r="Z24" s="7"/>
      <c r="AA24" s="7"/>
      <c r="AB24" s="7"/>
      <c r="AE24" s="7"/>
      <c r="AF24" s="7"/>
      <c r="AG24" s="7"/>
      <c r="AH24" s="7"/>
      <c r="AI24" s="7"/>
      <c r="AJ24" s="7"/>
      <c r="AR24" s="13"/>
    </row>
    <row r="25" spans="1:44" ht="12.75">
      <c r="A25" s="1">
        <v>9</v>
      </c>
      <c r="B25" s="6">
        <f t="shared" si="1"/>
        <v>55</v>
      </c>
      <c r="C25" s="6">
        <f t="shared" si="1"/>
        <v>37.8</v>
      </c>
      <c r="D25" s="11">
        <f>'data WL'!$C$14*$B$6*'data WL'!L13*24*60*60</f>
        <v>0.3578076614721949</v>
      </c>
      <c r="E25" s="12">
        <f>'data WL'!AN13*$B$5/70.4*$B$6</f>
        <v>15.74419559846029</v>
      </c>
      <c r="F25" s="12">
        <f t="shared" si="0"/>
        <v>-10.35323094537601</v>
      </c>
      <c r="G25" s="11">
        <f>'data WL'!AK39</f>
        <v>37.82972725532299</v>
      </c>
      <c r="O25" s="7"/>
      <c r="P25" s="7"/>
      <c r="Q25" s="7"/>
      <c r="R25" s="7"/>
      <c r="S25" s="7"/>
      <c r="T25" s="7"/>
      <c r="W25" s="7"/>
      <c r="X25" s="7"/>
      <c r="Y25" s="7"/>
      <c r="Z25" s="7"/>
      <c r="AA25" s="7"/>
      <c r="AB25" s="7"/>
      <c r="AE25" s="7"/>
      <c r="AF25" s="7"/>
      <c r="AG25" s="7"/>
      <c r="AH25" s="7"/>
      <c r="AI25" s="7"/>
      <c r="AJ25" s="7"/>
      <c r="AR25" s="13"/>
    </row>
    <row r="26" spans="1:44" ht="12.75">
      <c r="A26" s="1">
        <v>10</v>
      </c>
      <c r="B26" s="6">
        <f t="shared" si="1"/>
        <v>55</v>
      </c>
      <c r="C26" s="6">
        <f t="shared" si="1"/>
        <v>37.8</v>
      </c>
      <c r="D26" s="11">
        <f>'data WL'!$C$14*$B$6*'data WL'!L14*24*60*60</f>
        <v>0.3578076614721949</v>
      </c>
      <c r="E26" s="12">
        <f>'data WL'!AN14*$B$5/70.4*$B$6</f>
        <v>22.035160828606756</v>
      </c>
      <c r="F26" s="12">
        <f t="shared" si="0"/>
        <v>-10.35323094537601</v>
      </c>
      <c r="G26" s="11">
        <f>'data WL'!AK40</f>
        <v>37.88854556407361</v>
      </c>
      <c r="O26" s="7"/>
      <c r="P26" s="7"/>
      <c r="Q26" s="7"/>
      <c r="R26" s="7"/>
      <c r="S26" s="7"/>
      <c r="T26" s="7"/>
      <c r="W26" s="7"/>
      <c r="X26" s="7"/>
      <c r="Y26" s="7"/>
      <c r="Z26" s="7"/>
      <c r="AA26" s="7"/>
      <c r="AB26" s="7"/>
      <c r="AC26" s="5"/>
      <c r="AE26" s="7"/>
      <c r="AF26" s="7"/>
      <c r="AG26" s="7"/>
      <c r="AH26" s="7"/>
      <c r="AI26" s="7"/>
      <c r="AJ26" s="7"/>
      <c r="AR26" s="13"/>
    </row>
    <row r="27" spans="1:44" ht="12.75">
      <c r="A27" s="1">
        <v>11</v>
      </c>
      <c r="B27" s="6">
        <f t="shared" si="1"/>
        <v>55</v>
      </c>
      <c r="C27" s="6">
        <f t="shared" si="1"/>
        <v>37.8</v>
      </c>
      <c r="D27" s="11">
        <f>'data WL'!$C$14*$B$6*'data WL'!L15*24*60*60</f>
        <v>0.3578076614721949</v>
      </c>
      <c r="E27" s="12">
        <f>'data WL'!AN15*$B$5/70.4*$B$6</f>
        <v>30.508872779436086</v>
      </c>
      <c r="F27" s="12">
        <f t="shared" si="0"/>
        <v>-10.35323094537601</v>
      </c>
      <c r="G27" s="11">
        <f>'data WL'!AK41</f>
        <v>37.96301164363312</v>
      </c>
      <c r="O27" s="7"/>
      <c r="P27" s="7"/>
      <c r="Q27" s="7"/>
      <c r="R27" s="7"/>
      <c r="S27" s="7"/>
      <c r="T27" s="7"/>
      <c r="W27" s="7"/>
      <c r="X27" s="7"/>
      <c r="Y27" s="7"/>
      <c r="Z27" s="7"/>
      <c r="AA27" s="7"/>
      <c r="AB27" s="7"/>
      <c r="AC27" s="5"/>
      <c r="AE27" s="7"/>
      <c r="AF27" s="7"/>
      <c r="AG27" s="7"/>
      <c r="AH27" s="7"/>
      <c r="AI27" s="7"/>
      <c r="AJ27" s="7"/>
      <c r="AR27" s="13"/>
    </row>
    <row r="28" spans="1:44" ht="12.75">
      <c r="A28" s="1">
        <v>12</v>
      </c>
      <c r="B28" s="6">
        <f t="shared" si="1"/>
        <v>55</v>
      </c>
      <c r="C28" s="6">
        <f t="shared" si="1"/>
        <v>37.8</v>
      </c>
      <c r="D28" s="11">
        <f>'data WL'!$C$14*$B$6*'data WL'!L16*24*60*60</f>
        <v>0.3578076614721949</v>
      </c>
      <c r="E28" s="12">
        <f>'data WL'!AN16*$B$5/70.4*$B$6</f>
        <v>46.36998338140637</v>
      </c>
      <c r="F28" s="12">
        <f t="shared" si="0"/>
        <v>-10.35323094537601</v>
      </c>
      <c r="G28" s="11">
        <f>'data WL'!AK42</f>
        <v>38.099364229955725</v>
      </c>
      <c r="O28" s="7"/>
      <c r="P28" s="7"/>
      <c r="Q28" s="7"/>
      <c r="R28" s="7"/>
      <c r="S28" s="7"/>
      <c r="T28" s="7"/>
      <c r="W28" s="7"/>
      <c r="X28" s="7"/>
      <c r="Y28" s="7"/>
      <c r="Z28" s="7"/>
      <c r="AA28" s="7"/>
      <c r="AB28" s="7"/>
      <c r="AC28" s="5"/>
      <c r="AE28" s="7"/>
      <c r="AF28" s="7"/>
      <c r="AG28" s="7"/>
      <c r="AH28" s="7"/>
      <c r="AI28" s="7"/>
      <c r="AJ28" s="7"/>
      <c r="AR28" s="13"/>
    </row>
    <row r="29" spans="1:44" ht="12.75">
      <c r="A29" s="1">
        <v>13</v>
      </c>
      <c r="B29" s="6">
        <f t="shared" si="1"/>
        <v>55</v>
      </c>
      <c r="C29" s="6">
        <f t="shared" si="1"/>
        <v>37.8</v>
      </c>
      <c r="D29" s="11">
        <f>'data WL'!$C$14*$B$6*'data WL'!L17*24*60*60</f>
        <v>0.3578076614721949</v>
      </c>
      <c r="E29" s="12">
        <f>'data WL'!AN17*$B$5/70.4*$B$6</f>
        <v>68.2365532039777</v>
      </c>
      <c r="F29" s="12">
        <f t="shared" si="0"/>
        <v>-10.35323094537601</v>
      </c>
      <c r="G29" s="11">
        <f>'data WL'!AK43</f>
        <v>38.26474642363972</v>
      </c>
      <c r="O29" s="7"/>
      <c r="P29" s="7"/>
      <c r="Q29" s="7"/>
      <c r="R29" s="7"/>
      <c r="S29" s="7"/>
      <c r="T29" s="7"/>
      <c r="W29" s="7"/>
      <c r="X29" s="7"/>
      <c r="Y29" s="7"/>
      <c r="Z29" s="7"/>
      <c r="AA29" s="7"/>
      <c r="AB29" s="7"/>
      <c r="AC29" s="5"/>
      <c r="AE29" s="7"/>
      <c r="AF29" s="7"/>
      <c r="AG29" s="7"/>
      <c r="AH29" s="7"/>
      <c r="AI29" s="7"/>
      <c r="AJ29" s="7"/>
      <c r="AR29" s="13"/>
    </row>
    <row r="30" spans="1:44" ht="12.75">
      <c r="A30" s="1">
        <v>14</v>
      </c>
      <c r="B30" s="6">
        <f t="shared" si="1"/>
        <v>55</v>
      </c>
      <c r="C30" s="6">
        <f t="shared" si="1"/>
        <v>37.8</v>
      </c>
      <c r="D30" s="11">
        <f>'data WL'!$C$14*$B$6*'data WL'!L18*24*60*60</f>
        <v>0.3578076614721949</v>
      </c>
      <c r="E30" s="12">
        <f>'data WL'!AN18*$B$5/70.4*$B$6</f>
        <v>94.22131779217958</v>
      </c>
      <c r="F30" s="12">
        <f t="shared" si="0"/>
        <v>-10.35323094537601</v>
      </c>
      <c r="G30" s="11">
        <f>'data WL'!AK44</f>
        <v>38.44626993829776</v>
      </c>
      <c r="O30" s="7"/>
      <c r="P30" s="7"/>
      <c r="Q30" s="7"/>
      <c r="R30" s="7"/>
      <c r="S30" s="7"/>
      <c r="T30" s="7"/>
      <c r="W30" s="7"/>
      <c r="X30" s="7"/>
      <c r="Y30" s="7"/>
      <c r="Z30" s="7"/>
      <c r="AA30" s="7"/>
      <c r="AB30" s="7"/>
      <c r="AC30" s="5"/>
      <c r="AE30" s="7"/>
      <c r="AF30" s="7"/>
      <c r="AG30" s="7"/>
      <c r="AH30" s="7"/>
      <c r="AI30" s="7"/>
      <c r="AJ30" s="7"/>
      <c r="AR30" s="13"/>
    </row>
    <row r="31" spans="1:44" ht="12.75">
      <c r="A31" s="1">
        <v>15</v>
      </c>
      <c r="B31" s="6">
        <f t="shared" si="1"/>
        <v>55</v>
      </c>
      <c r="C31" s="6">
        <f t="shared" si="1"/>
        <v>37.8</v>
      </c>
      <c r="D31" s="11">
        <f>'data WL'!$C$14*$B$6*'data WL'!L19*24*60*60</f>
        <v>0.3578076614721949</v>
      </c>
      <c r="E31" s="12">
        <f>'data WL'!AN19*$B$5/70.4*$B$6</f>
        <v>118.91614371291608</v>
      </c>
      <c r="F31" s="12">
        <f t="shared" si="0"/>
        <v>-10.35323094537601</v>
      </c>
      <c r="G31" s="11">
        <f>'data WL'!AK45</f>
        <v>38.602939754573455</v>
      </c>
      <c r="O31" s="7"/>
      <c r="P31" s="7"/>
      <c r="Q31" s="7"/>
      <c r="R31" s="7"/>
      <c r="S31" s="7"/>
      <c r="T31" s="7"/>
      <c r="W31" s="7"/>
      <c r="X31" s="7"/>
      <c r="Y31" s="7"/>
      <c r="Z31" s="7"/>
      <c r="AA31" s="7"/>
      <c r="AB31" s="7"/>
      <c r="AC31" s="5"/>
      <c r="AE31" s="7"/>
      <c r="AF31" s="7"/>
      <c r="AG31" s="7"/>
      <c r="AH31" s="7"/>
      <c r="AI31" s="7"/>
      <c r="AJ31" s="7"/>
      <c r="AR31" s="13"/>
    </row>
    <row r="32" spans="1:44" ht="12.75">
      <c r="A32" s="1">
        <v>16</v>
      </c>
      <c r="B32" s="6">
        <f t="shared" si="1"/>
        <v>55</v>
      </c>
      <c r="C32" s="6">
        <f t="shared" si="1"/>
        <v>37.8</v>
      </c>
      <c r="D32" s="11">
        <f>'data WL'!$C$14*$B$6*'data WL'!L20*24*60*60</f>
        <v>0.3578076614721949</v>
      </c>
      <c r="E32" s="12">
        <f>'data WL'!AN20*$B$5/70.4*$B$6</f>
        <v>139.90737585970803</v>
      </c>
      <c r="F32" s="12">
        <f t="shared" si="0"/>
        <v>-10.35323094537601</v>
      </c>
      <c r="G32" s="11">
        <f>'data WL'!AK46</f>
        <v>38.73246350830011</v>
      </c>
      <c r="O32" s="7"/>
      <c r="P32" s="7"/>
      <c r="Q32" s="7"/>
      <c r="R32" s="7"/>
      <c r="S32" s="7"/>
      <c r="T32" s="7"/>
      <c r="W32" s="7"/>
      <c r="X32" s="7"/>
      <c r="Y32" s="7"/>
      <c r="Z32" s="7"/>
      <c r="AA32" s="7"/>
      <c r="AB32" s="7"/>
      <c r="AC32" s="5"/>
      <c r="AE32" s="7"/>
      <c r="AF32" s="7"/>
      <c r="AG32" s="7"/>
      <c r="AH32" s="7"/>
      <c r="AI32" s="7"/>
      <c r="AJ32" s="7"/>
      <c r="AR32" s="13"/>
    </row>
    <row r="33" spans="1:44" ht="12.75">
      <c r="A33" s="1">
        <v>17</v>
      </c>
      <c r="B33" s="6">
        <f t="shared" si="1"/>
        <v>55</v>
      </c>
      <c r="C33" s="6">
        <f t="shared" si="1"/>
        <v>37.8</v>
      </c>
      <c r="D33" s="11">
        <f>'data WL'!$C$14*$B$6*'data WL'!L21*24*60*60</f>
        <v>0.3578076614721949</v>
      </c>
      <c r="E33" s="12">
        <f>'data WL'!AN21*$B$5/70.4*$B$6</f>
        <v>149.06020470459902</v>
      </c>
      <c r="F33" s="12">
        <f t="shared" si="0"/>
        <v>-10.35323094537601</v>
      </c>
      <c r="G33" s="11">
        <f>'data WL'!AK47</f>
        <v>38.77548302048973</v>
      </c>
      <c r="O33" s="7"/>
      <c r="P33" s="7"/>
      <c r="Q33" s="7"/>
      <c r="R33" s="7"/>
      <c r="S33" s="7"/>
      <c r="T33" s="7"/>
      <c r="W33" s="7"/>
      <c r="X33" s="7"/>
      <c r="Y33" s="7"/>
      <c r="Z33" s="7"/>
      <c r="AA33" s="7"/>
      <c r="AB33" s="7"/>
      <c r="AC33" s="5"/>
      <c r="AE33" s="7"/>
      <c r="AF33" s="7"/>
      <c r="AG33" s="7"/>
      <c r="AH33" s="7"/>
      <c r="AI33" s="7"/>
      <c r="AJ33" s="7"/>
      <c r="AR33" s="13"/>
    </row>
    <row r="34" spans="1:44" ht="12.75">
      <c r="A34" s="1">
        <v>18</v>
      </c>
      <c r="B34" s="6">
        <f t="shared" si="1"/>
        <v>55</v>
      </c>
      <c r="C34" s="6">
        <f t="shared" si="1"/>
        <v>37.8</v>
      </c>
      <c r="D34" s="11">
        <f>'data WL'!$C$14*$B$6*'data WL'!L22*24*60*60</f>
        <v>0.3578076614721949</v>
      </c>
      <c r="E34" s="12">
        <f>'data WL'!AN22*$B$5/70.4*$B$6</f>
        <v>155.3777177248243</v>
      </c>
      <c r="F34" s="12">
        <f t="shared" si="0"/>
        <v>-10.35323094537601</v>
      </c>
      <c r="G34" s="11">
        <f>'data WL'!AK48</f>
        <v>38.81834900778523</v>
      </c>
      <c r="O34" s="7"/>
      <c r="P34" s="7"/>
      <c r="Q34" s="7"/>
      <c r="R34" s="7"/>
      <c r="S34" s="7"/>
      <c r="T34" s="7"/>
      <c r="W34" s="7"/>
      <c r="X34" s="7"/>
      <c r="Y34" s="7"/>
      <c r="Z34" s="7"/>
      <c r="AA34" s="7"/>
      <c r="AB34" s="7"/>
      <c r="AC34" s="5"/>
      <c r="AE34" s="7"/>
      <c r="AF34" s="7"/>
      <c r="AG34" s="7"/>
      <c r="AH34" s="7"/>
      <c r="AI34" s="7"/>
      <c r="AJ34" s="7"/>
      <c r="AR34" s="13"/>
    </row>
    <row r="35" spans="1:44" ht="12.75">
      <c r="A35" s="1">
        <v>19</v>
      </c>
      <c r="B35" s="3"/>
      <c r="C35" s="6"/>
      <c r="D35" s="10"/>
      <c r="E35" s="12"/>
      <c r="F35" s="10"/>
      <c r="G35" s="10"/>
      <c r="O35" s="7"/>
      <c r="P35" s="7"/>
      <c r="Q35" s="7"/>
      <c r="R35" s="7"/>
      <c r="S35" s="7"/>
      <c r="T35" s="7"/>
      <c r="W35" s="7"/>
      <c r="X35" s="7"/>
      <c r="Y35" s="7"/>
      <c r="Z35" s="7"/>
      <c r="AA35" s="7"/>
      <c r="AB35" s="7"/>
      <c r="AC35" s="5"/>
      <c r="AE35" s="7"/>
      <c r="AF35" s="7"/>
      <c r="AG35" s="7"/>
      <c r="AH35" s="7"/>
      <c r="AI35" s="7"/>
      <c r="AJ35" s="7"/>
      <c r="AR35" s="13"/>
    </row>
    <row r="36" spans="1:44" ht="12.75">
      <c r="A36" s="1">
        <v>20</v>
      </c>
      <c r="B36" s="3"/>
      <c r="C36" s="6"/>
      <c r="D36" s="14"/>
      <c r="E36" s="12"/>
      <c r="F36" s="10"/>
      <c r="G36" s="10"/>
      <c r="O36" s="7"/>
      <c r="P36" s="7"/>
      <c r="Q36" s="7"/>
      <c r="R36" s="7"/>
      <c r="S36" s="7"/>
      <c r="T36" s="7"/>
      <c r="W36" s="7"/>
      <c r="X36" s="7"/>
      <c r="Y36" s="7"/>
      <c r="Z36" s="7"/>
      <c r="AA36" s="7"/>
      <c r="AB36" s="7"/>
      <c r="AC36" s="5"/>
      <c r="AE36" s="7"/>
      <c r="AF36" s="7"/>
      <c r="AG36" s="7"/>
      <c r="AH36" s="7"/>
      <c r="AI36" s="7"/>
      <c r="AJ36" s="7"/>
      <c r="AR36" s="13"/>
    </row>
    <row r="37" spans="1:44" ht="12.75">
      <c r="A37" s="1">
        <v>21</v>
      </c>
      <c r="B37" s="3"/>
      <c r="C37" s="6"/>
      <c r="D37" s="14"/>
      <c r="E37" s="12"/>
      <c r="F37" s="10"/>
      <c r="G37" s="10"/>
      <c r="O37" s="7"/>
      <c r="P37" s="7"/>
      <c r="Q37" s="7"/>
      <c r="R37" s="7"/>
      <c r="S37" s="7"/>
      <c r="T37" s="7"/>
      <c r="W37" s="7"/>
      <c r="X37" s="7"/>
      <c r="Y37" s="7"/>
      <c r="Z37" s="7"/>
      <c r="AA37" s="7"/>
      <c r="AB37" s="7"/>
      <c r="AC37" s="5"/>
      <c r="AE37" s="7"/>
      <c r="AF37" s="7"/>
      <c r="AG37" s="7"/>
      <c r="AH37" s="7"/>
      <c r="AI37" s="7"/>
      <c r="AJ37" s="7"/>
      <c r="AR37" s="13"/>
    </row>
    <row r="38" spans="15:44" ht="12.75">
      <c r="O38" s="7"/>
      <c r="P38" s="7"/>
      <c r="Q38" s="7"/>
      <c r="R38" s="7"/>
      <c r="S38" s="7"/>
      <c r="T38" s="7"/>
      <c r="W38" s="7"/>
      <c r="X38" s="7"/>
      <c r="Y38" s="7"/>
      <c r="Z38" s="7"/>
      <c r="AA38" s="7"/>
      <c r="AB38" s="7"/>
      <c r="AC38" s="5"/>
      <c r="AE38" s="7"/>
      <c r="AF38" s="7"/>
      <c r="AG38" s="7"/>
      <c r="AH38" s="7"/>
      <c r="AI38" s="7"/>
      <c r="AJ38" s="7"/>
      <c r="AR38" s="13"/>
    </row>
    <row r="39" spans="15:44" ht="12.75">
      <c r="O39" s="7"/>
      <c r="P39" s="7"/>
      <c r="Q39" s="7"/>
      <c r="R39" s="7"/>
      <c r="S39" s="7"/>
      <c r="T39" s="7"/>
      <c r="W39" s="7"/>
      <c r="X39" s="7"/>
      <c r="Y39" s="7"/>
      <c r="Z39" s="7"/>
      <c r="AA39" s="7"/>
      <c r="AB39" s="7"/>
      <c r="AE39" s="7"/>
      <c r="AF39" s="7"/>
      <c r="AG39" s="7"/>
      <c r="AH39" s="7"/>
      <c r="AI39" s="7"/>
      <c r="AJ39" s="7"/>
      <c r="AR39" s="13"/>
    </row>
    <row r="40" ht="12.75">
      <c r="AR40" s="13"/>
    </row>
    <row r="41" ht="12.75">
      <c r="AR41" s="13"/>
    </row>
    <row r="42" ht="12.75">
      <c r="AR42" s="13"/>
    </row>
    <row r="43" ht="12.75">
      <c r="AR43" s="13"/>
    </row>
    <row r="44" spans="57:59" ht="12.75">
      <c r="BE44" s="2"/>
      <c r="BF44" s="2"/>
      <c r="BG44" s="2"/>
    </row>
    <row r="45" spans="27:59" s="2" customFormat="1" ht="14.25" customHeight="1">
      <c r="AA45" s="1"/>
      <c r="BE45" s="1"/>
      <c r="BF45" s="1"/>
      <c r="BG45" s="1"/>
    </row>
    <row r="47" ht="12.75">
      <c r="AA47" s="7"/>
    </row>
    <row r="48" ht="12.75">
      <c r="AA48" s="7"/>
    </row>
    <row r="49" ht="12.75">
      <c r="AA49" s="7"/>
    </row>
    <row r="50" ht="12.75">
      <c r="AA50" s="7"/>
    </row>
    <row r="51" ht="12.75">
      <c r="AA51" s="7"/>
    </row>
    <row r="52" ht="12.75">
      <c r="AA52" s="7"/>
    </row>
    <row r="53" ht="12.75">
      <c r="AA53" s="7"/>
    </row>
    <row r="54" ht="12.75">
      <c r="AA54" s="7"/>
    </row>
    <row r="55" ht="12.75">
      <c r="AA55" s="7"/>
    </row>
    <row r="56" ht="12.75">
      <c r="AA56" s="7"/>
    </row>
    <row r="57" ht="12.75">
      <c r="AA57" s="7"/>
    </row>
    <row r="58" ht="12.75">
      <c r="AA58" s="7"/>
    </row>
    <row r="59" ht="12.75">
      <c r="AA59" s="7"/>
    </row>
    <row r="60" ht="12.75">
      <c r="AA60" s="7"/>
    </row>
    <row r="61" ht="12.75">
      <c r="AA61" s="7"/>
    </row>
    <row r="62" ht="12.75">
      <c r="AA62" s="7"/>
    </row>
    <row r="63" ht="12.75">
      <c r="AA63" s="7"/>
    </row>
    <row r="64" ht="12.75">
      <c r="AA64" s="7"/>
    </row>
    <row r="65" spans="10:25" ht="12.75">
      <c r="J65" s="7"/>
      <c r="K65" s="7"/>
      <c r="L65" s="5"/>
      <c r="M65" s="7"/>
      <c r="N65" s="15"/>
      <c r="O65" s="16"/>
      <c r="P65" s="5"/>
      <c r="R65" s="7"/>
      <c r="S65" s="7"/>
      <c r="T65" s="7"/>
      <c r="U65" s="7"/>
      <c r="V65" s="7"/>
      <c r="W65" s="7"/>
      <c r="Y65" s="7"/>
    </row>
    <row r="66" spans="10:25" ht="12.75">
      <c r="J66" s="7"/>
      <c r="K66" s="7"/>
      <c r="L66" s="5"/>
      <c r="M66" s="7"/>
      <c r="N66" s="15"/>
      <c r="O66" s="16"/>
      <c r="P66" s="5"/>
      <c r="R66" s="7"/>
      <c r="S66" s="7"/>
      <c r="T66" s="7"/>
      <c r="V66" s="7"/>
      <c r="W66" s="7"/>
      <c r="X66" s="7"/>
      <c r="Y66" s="7"/>
    </row>
    <row r="67" spans="10:25" ht="12.75">
      <c r="J67" s="7"/>
      <c r="K67" s="7"/>
      <c r="L67" s="5"/>
      <c r="M67" s="7"/>
      <c r="N67" s="15"/>
      <c r="O67" s="16"/>
      <c r="P67" s="5"/>
      <c r="R67" s="7"/>
      <c r="S67" s="7"/>
      <c r="T67" s="7"/>
      <c r="V67" s="7"/>
      <c r="W67" s="7"/>
      <c r="X67" s="7"/>
      <c r="Y67" s="7"/>
    </row>
    <row r="68" spans="3:22" ht="12.75">
      <c r="C68" s="5"/>
      <c r="D68" s="5"/>
      <c r="J68" s="16"/>
      <c r="V68" s="7"/>
    </row>
    <row r="69" ht="12.75">
      <c r="D69" s="5"/>
    </row>
    <row r="70" spans="9:27" ht="12.75">
      <c r="I70" s="5"/>
      <c r="Y70" s="1" t="s">
        <v>64</v>
      </c>
      <c r="Z70" s="1" t="s">
        <v>65</v>
      </c>
      <c r="AA70" s="1" t="s">
        <v>66</v>
      </c>
    </row>
    <row r="71" spans="25:26" ht="12.75">
      <c r="Y71" s="1">
        <v>-0.3726094097222273</v>
      </c>
      <c r="Z71" s="1">
        <v>-0.2386054210652411</v>
      </c>
    </row>
    <row r="72" spans="8:26" ht="12.75">
      <c r="H72" s="13"/>
      <c r="I72" s="13"/>
      <c r="Y72" s="1">
        <v>-0.3124981423611118</v>
      </c>
      <c r="Z72" s="1">
        <v>-0.23739426239593842</v>
      </c>
    </row>
    <row r="73" spans="8:26" ht="12.75">
      <c r="H73" s="13"/>
      <c r="I73" s="13"/>
      <c r="Y73" s="1">
        <v>-0.31875174045138693</v>
      </c>
      <c r="Z73" s="1">
        <v>-0.2646246017366821</v>
      </c>
    </row>
    <row r="74" spans="8:26" ht="12.75">
      <c r="H74" s="13"/>
      <c r="I74" s="13"/>
      <c r="Y74" s="1">
        <v>-0.3309592171717142</v>
      </c>
      <c r="Z74" s="1">
        <v>-0.2716894624006505</v>
      </c>
    </row>
    <row r="75" spans="8:26" ht="12.75">
      <c r="H75" s="13"/>
      <c r="I75" s="13"/>
      <c r="Y75" s="1">
        <v>-0.2547128645833368</v>
      </c>
      <c r="Z75" s="1">
        <v>-0.28340112789347716</v>
      </c>
    </row>
    <row r="76" spans="8:26" ht="12.75">
      <c r="H76" s="13"/>
      <c r="I76" s="13"/>
      <c r="Y76" s="1">
        <v>-0.21869184027778205</v>
      </c>
      <c r="Z76" s="1">
        <v>-0.27927508357005226</v>
      </c>
    </row>
    <row r="77" spans="8:26" ht="12.75">
      <c r="H77" s="13"/>
      <c r="I77" s="13"/>
      <c r="Y77" s="1">
        <v>-0.29349559461806224</v>
      </c>
      <c r="Z77" s="1">
        <v>-0.25031400517617775</v>
      </c>
    </row>
    <row r="78" spans="8:26" ht="12.75">
      <c r="H78" s="13"/>
      <c r="I78" s="13"/>
      <c r="Y78" s="1">
        <v>-0.27092250434027393</v>
      </c>
      <c r="Z78" s="1">
        <v>-0.23968928280766472</v>
      </c>
    </row>
    <row r="79" spans="8:26" ht="12.75">
      <c r="H79" s="13"/>
      <c r="I79" s="13"/>
      <c r="Y79" s="1">
        <v>-0.18252738715278555</v>
      </c>
      <c r="Z79" s="1">
        <v>-0.14111650498110817</v>
      </c>
    </row>
    <row r="80" spans="8:26" ht="12.75">
      <c r="H80" s="13"/>
      <c r="I80" s="13"/>
      <c r="Y80" s="1">
        <v>-0.12260089409722214</v>
      </c>
      <c r="Z80" s="1">
        <v>-0.1115668375325044</v>
      </c>
    </row>
    <row r="81" spans="8:26" ht="12.75">
      <c r="H81" s="13"/>
      <c r="I81" s="13"/>
      <c r="Y81" s="1">
        <v>-0.10782964843749882</v>
      </c>
      <c r="Z81" s="1">
        <v>-0.08406452258153901</v>
      </c>
    </row>
    <row r="82" spans="8:26" ht="12.75">
      <c r="H82" s="13"/>
      <c r="I82" s="13"/>
      <c r="Y82" s="1">
        <v>-0.016658888888881063</v>
      </c>
      <c r="Z82" s="1">
        <v>-0.004793608469805477</v>
      </c>
    </row>
    <row r="83" spans="8:26" ht="12.75">
      <c r="H83" s="13"/>
      <c r="I83" s="13"/>
      <c r="Y83" s="1">
        <v>0.06666247395833408</v>
      </c>
      <c r="Z83" s="1">
        <v>0.08329211511496726</v>
      </c>
    </row>
    <row r="84" spans="8:26" ht="12.75">
      <c r="H84" s="13"/>
      <c r="I84" s="13"/>
      <c r="Y84" s="1">
        <v>0.22139160156250454</v>
      </c>
      <c r="Z84" s="1">
        <v>0.1880470182360155</v>
      </c>
    </row>
    <row r="85" spans="8:26" ht="12.75">
      <c r="H85" s="13"/>
      <c r="I85" s="13"/>
      <c r="Y85" s="1">
        <v>0.3021642838541709</v>
      </c>
      <c r="Z85" s="1">
        <v>0.2836203084614465</v>
      </c>
    </row>
    <row r="86" spans="8:26" ht="12.75">
      <c r="H86" s="13"/>
      <c r="I86" s="13"/>
      <c r="Y86" s="1">
        <v>0.3498111067708322</v>
      </c>
      <c r="Z86" s="1">
        <v>0.3227514888527878</v>
      </c>
    </row>
    <row r="87" spans="8:26" ht="12.75">
      <c r="H87" s="13"/>
      <c r="I87" s="13"/>
      <c r="Y87" s="1">
        <v>0.37107634114584015</v>
      </c>
      <c r="Z87" s="1">
        <v>0.32785966503916375</v>
      </c>
    </row>
    <row r="88" spans="8:26" ht="12.75">
      <c r="H88" s="13"/>
      <c r="I88" s="13"/>
      <c r="Y88" s="1">
        <v>0.37083641568538467</v>
      </c>
      <c r="Z88" s="1">
        <v>0.34755328573442223</v>
      </c>
    </row>
    <row r="89" spans="8:28" ht="12.75">
      <c r="H89" s="13"/>
      <c r="I89" s="13"/>
      <c r="Y89" s="7">
        <v>-0.4753819164299287</v>
      </c>
      <c r="AA89" s="7">
        <v>-0.2577565967796621</v>
      </c>
      <c r="AB89" s="7"/>
    </row>
    <row r="90" spans="25:28" ht="12.75">
      <c r="Y90" s="7">
        <v>-0.3028783053188178</v>
      </c>
      <c r="AA90" s="7">
        <v>-0.24826618185545143</v>
      </c>
      <c r="AB90" s="7"/>
    </row>
    <row r="91" spans="25:27" ht="12.75">
      <c r="Y91" s="7">
        <v>-0.31936441642992436</v>
      </c>
      <c r="AA91" s="7">
        <v>-0.2661833612025186</v>
      </c>
    </row>
    <row r="92" spans="25:27" ht="12.75">
      <c r="Y92" s="7">
        <v>-0.3733212314551764</v>
      </c>
      <c r="AA92" s="7">
        <v>-0.2740693055954919</v>
      </c>
    </row>
    <row r="93" spans="25:27" ht="12.75">
      <c r="Y93" s="7">
        <v>-0.30000000000000143</v>
      </c>
      <c r="AA93" s="7">
        <v>-0.2814796558086228</v>
      </c>
    </row>
    <row r="94" spans="25:27" ht="12.75">
      <c r="Y94" s="7">
        <v>-0.30000000000000143</v>
      </c>
      <c r="AA94" s="7">
        <v>-0.28017048918670096</v>
      </c>
    </row>
    <row r="95" spans="25:27" ht="12.75">
      <c r="Y95" s="7">
        <v>-0.30000000000000143</v>
      </c>
      <c r="AA95" s="7">
        <v>-0.21961578084541733</v>
      </c>
    </row>
    <row r="96" spans="25:27" ht="12.75">
      <c r="Y96" s="7">
        <v>-0.2</v>
      </c>
      <c r="AA96" s="7">
        <v>-0.19083358279348384</v>
      </c>
    </row>
    <row r="97" spans="25:27" ht="12.75">
      <c r="Y97" s="7">
        <v>-0.19249059698547627</v>
      </c>
      <c r="AA97" s="7">
        <v>-0.12766535129355422</v>
      </c>
    </row>
    <row r="98" spans="25:27" ht="12.75">
      <c r="Y98" s="7">
        <v>-0.15563816642992095</v>
      </c>
      <c r="AA98" s="7">
        <v>-0.09804412812544874</v>
      </c>
    </row>
    <row r="99" spans="25:27" ht="12.75">
      <c r="Y99" s="7">
        <v>-0.09999999999999859</v>
      </c>
      <c r="AA99" s="7">
        <v>-0.06404573843660355</v>
      </c>
    </row>
    <row r="100" spans="25:27" ht="12.75">
      <c r="Y100" s="7">
        <v>-0.0068024372632578545</v>
      </c>
      <c r="AA100" s="7">
        <v>0.033902937646042186</v>
      </c>
    </row>
    <row r="101" spans="25:27" ht="12.75">
      <c r="Y101" s="7">
        <v>0.09050176412562932</v>
      </c>
      <c r="AA101" s="7">
        <v>0.13744811403712243</v>
      </c>
    </row>
    <row r="102" spans="25:27" ht="12.75">
      <c r="Y102" s="7">
        <v>0.25</v>
      </c>
      <c r="AA102" s="7">
        <v>0.2345204424277409</v>
      </c>
    </row>
    <row r="103" spans="25:27" ht="12.75">
      <c r="Y103" s="7">
        <v>0.41490676412562805</v>
      </c>
      <c r="AA103" s="7">
        <v>0.2817146583714263</v>
      </c>
    </row>
    <row r="104" spans="25:27" ht="12.75">
      <c r="Y104" s="7">
        <v>0.45690457662562806</v>
      </c>
      <c r="AA104" s="7">
        <v>0.32928713946664445</v>
      </c>
    </row>
    <row r="105" spans="25:27" ht="12.75">
      <c r="Y105" s="7">
        <v>0.5000000000000029</v>
      </c>
      <c r="AA105" s="7">
        <v>0.3394146366922769</v>
      </c>
    </row>
    <row r="106" spans="25:27" ht="12.75">
      <c r="Y106" s="7">
        <v>0.55</v>
      </c>
      <c r="AA106" s="7">
        <v>0.3680363020861819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25"/>
  <sheetViews>
    <sheetView zoomScalePageLayoutView="0" workbookViewId="0" topLeftCell="G1">
      <selection activeCell="G1" sqref="A1:IV16384"/>
    </sheetView>
  </sheetViews>
  <sheetFormatPr defaultColWidth="9.140625" defaultRowHeight="12.75"/>
  <cols>
    <col min="1" max="1" width="21.57421875" style="47" customWidth="1"/>
    <col min="2" max="2" width="9.28125" style="47" bestFit="1" customWidth="1"/>
    <col min="3" max="3" width="12.421875" style="47" bestFit="1" customWidth="1"/>
    <col min="4" max="7" width="9.140625" style="47" customWidth="1"/>
    <col min="8" max="12" width="9.28125" style="47" bestFit="1" customWidth="1"/>
    <col min="13" max="14" width="9.7109375" style="47" bestFit="1" customWidth="1"/>
    <col min="15" max="27" width="9.28125" style="47" bestFit="1" customWidth="1"/>
    <col min="28" max="28" width="9.140625" style="47" customWidth="1"/>
    <col min="29" max="29" width="9.28125" style="47" bestFit="1" customWidth="1"/>
    <col min="30" max="30" width="9.140625" style="47" customWidth="1"/>
    <col min="31" max="36" width="9.28125" style="47" bestFit="1" customWidth="1"/>
    <col min="37" max="16384" width="9.140625" style="47" customWidth="1"/>
  </cols>
  <sheetData>
    <row r="2" spans="38:39" ht="12.75">
      <c r="AL2" s="28" t="s">
        <v>45</v>
      </c>
      <c r="AM2" s="29">
        <v>70.4</v>
      </c>
    </row>
    <row r="3" spans="1:40" ht="12.75">
      <c r="A3" s="47" t="s">
        <v>48</v>
      </c>
      <c r="B3" s="48">
        <f>0.336*4.484*(1.46+SQRT('Settings ET'!$B$7))</f>
        <v>6.964034457473525</v>
      </c>
      <c r="C3" s="47" t="s">
        <v>49</v>
      </c>
      <c r="H3" s="49"/>
      <c r="I3" s="49" t="s">
        <v>63</v>
      </c>
      <c r="J3" s="49" t="s">
        <v>62</v>
      </c>
      <c r="K3" s="49" t="s">
        <v>61</v>
      </c>
      <c r="L3" s="49" t="s">
        <v>13</v>
      </c>
      <c r="M3" s="49" t="s">
        <v>3</v>
      </c>
      <c r="N3" s="49" t="s">
        <v>4</v>
      </c>
      <c r="O3" s="49" t="s">
        <v>16</v>
      </c>
      <c r="P3" s="49" t="s">
        <v>17</v>
      </c>
      <c r="Q3" s="49" t="s">
        <v>15</v>
      </c>
      <c r="R3" s="49" t="s">
        <v>38</v>
      </c>
      <c r="S3" s="49" t="s">
        <v>23</v>
      </c>
      <c r="T3" s="49" t="s">
        <v>28</v>
      </c>
      <c r="U3" s="49" t="s">
        <v>31</v>
      </c>
      <c r="V3" s="49" t="s">
        <v>39</v>
      </c>
      <c r="W3" s="49" t="s">
        <v>35</v>
      </c>
      <c r="X3" s="49" t="s">
        <v>37</v>
      </c>
      <c r="Y3" s="47" t="s">
        <v>59</v>
      </c>
      <c r="Z3" s="47" t="s">
        <v>58</v>
      </c>
      <c r="AA3" s="47" t="s">
        <v>60</v>
      </c>
      <c r="AC3" s="49" t="s">
        <v>55</v>
      </c>
      <c r="AE3" s="49" t="s">
        <v>34</v>
      </c>
      <c r="AF3" s="49" t="s">
        <v>41</v>
      </c>
      <c r="AG3" s="49" t="s">
        <v>56</v>
      </c>
      <c r="AH3" s="49" t="s">
        <v>57</v>
      </c>
      <c r="AI3" s="49" t="s">
        <v>26</v>
      </c>
      <c r="AJ3" s="47" t="str">
        <f>'Settings ET'!G15</f>
        <v>ET (ºC)</v>
      </c>
      <c r="AL3" s="28" t="s">
        <v>44</v>
      </c>
      <c r="AM3" s="29" t="s">
        <v>54</v>
      </c>
      <c r="AN3" s="47" t="s">
        <v>88</v>
      </c>
    </row>
    <row r="4" spans="1:38" ht="12.75">
      <c r="A4" s="47" t="s">
        <v>50</v>
      </c>
      <c r="B4" s="48">
        <f>'data ET'!$Q$5*'data ET'!B17/(2*0.01*'data ET'!$B$7)</f>
        <v>8.428302605168172</v>
      </c>
      <c r="C4" s="47" t="s">
        <v>49</v>
      </c>
      <c r="H4" s="47">
        <v>0</v>
      </c>
      <c r="W4" s="50"/>
      <c r="AL4" s="28">
        <v>0</v>
      </c>
    </row>
    <row r="5" spans="8:40" ht="12.75">
      <c r="H5" s="47">
        <v>1</v>
      </c>
      <c r="I5" s="50">
        <f>'Settings ET'!F17/('data ET'!$B$9/1000)</f>
        <v>-167.952400212368</v>
      </c>
      <c r="J5" s="50">
        <f>('Settings ET'!E17)/('data ET'!$B$9/1000)</f>
        <v>4.208208194993377</v>
      </c>
      <c r="K5" s="50">
        <f aca="true" t="shared" si="0" ref="K5:K22">I5+J5</f>
        <v>-163.74419201737462</v>
      </c>
      <c r="L5" s="50">
        <f>'data ET'!AA5</f>
        <v>2947.0035170066544</v>
      </c>
      <c r="M5" s="51">
        <f>'Settings ET'!D17/('Settings ET'!$B$6*L5)</f>
        <v>2.0247546687822527E-06</v>
      </c>
      <c r="N5" s="51">
        <f>M5/(4.68*'Settings ET'!$B$6^-0.33)</f>
        <v>1.6707692307692312E-06</v>
      </c>
      <c r="O5" s="48">
        <f>'data ET'!$B$15/'data ET'!$B$16</f>
        <v>2.0833333333333335</v>
      </c>
      <c r="P5" s="48">
        <f>(('Settings ET'!$B$7/100)*(0.01*'data ET'!$B$7*2))/'data ET'!$B$15</f>
        <v>194.49469192193212</v>
      </c>
      <c r="Q5" s="48">
        <f>2+1.3*O5^0.15+0.66*P5^0.5*O5^0.33</f>
        <v>15.178334431638902</v>
      </c>
      <c r="R5" s="48">
        <f>IF('Settings ET'!E17/'data ET'!$B$20*'data ET'!$B$19&lt;'data ET'!$B$18,'data ET'!$B$18,('Settings ET'!E17/'data ET'!$B$20*'data ET'!$B$19))</f>
        <v>0.5</v>
      </c>
      <c r="S5" s="52">
        <f>(('data ET'!J5*('data ET'!$B$7*0.01)^2))/(R5*('data ET'!$B$23+'data ET'!$B$24*'data ET'!$B$22))</f>
        <v>0.00497465246564504</v>
      </c>
      <c r="T5" s="53">
        <f>0.622*EXP(6.414+((17.26*'Settings ET'!C17*'Settings ET'!B17/100)/(237.2+'Settings ET'!C17*'Settings ET'!B17/100)))/('data ET'!$B$21-EXP(6.414+((17.26*'Settings ET'!C17)/(237.2+'Settings ET'!C17))))</f>
        <v>0.016095114800355217</v>
      </c>
      <c r="U5" s="54">
        <f>1.005*'Settings ET'!C17+2500*'data ET'!T5+1.86*'data ET'!T5*'Settings ET'!C17</f>
        <v>79.35840233227141</v>
      </c>
      <c r="V5" s="47">
        <f>'data ET'!B17</f>
        <v>0.027</v>
      </c>
      <c r="W5" s="48">
        <f>'data ET'!B4</f>
        <v>8.428302605168172</v>
      </c>
      <c r="X5" s="48">
        <f>W5*0.01*'data ET'!$B$7/R5</f>
        <v>0.4098150296542504</v>
      </c>
      <c r="Y5" s="50">
        <f>EXP(6.414+(17.26*'data ET'!AI5)/(237.2+'data ET'!AI5))*((100-0)/100)</f>
        <v>6546.785109276466</v>
      </c>
      <c r="Z5" s="50">
        <f>EXP(6.414+(17.26*'Settings ET'!C17)/(237.2+'Settings ET'!C17))*(('Settings ET'!B17)/100)</f>
        <v>3599.7815922698114</v>
      </c>
      <c r="AA5" s="50">
        <f aca="true" t="shared" si="1" ref="AA5:AA22">Y5-Z5</f>
        <v>2947.0035170066544</v>
      </c>
      <c r="AC5" s="48">
        <f>('data ET'!S5/6)*(1+(2*'data ET'!R5)/('data ET'!W5*'data ET'!$B$7*0.01))</f>
        <v>0.004875367101239117</v>
      </c>
      <c r="AE5" s="48">
        <f>'Settings ET'!C17</f>
        <v>37.8</v>
      </c>
      <c r="AF5" s="48">
        <f aca="true" t="shared" si="2" ref="AF5:AF22">ABS(AC5)</f>
        <v>0.004875367101239117</v>
      </c>
      <c r="AG5" s="47">
        <f>(-'data ET'!N5*'data ET'!L5*'Settings ET'!D17/(24*60*60)*2.5*10^5)/'data ET'!V5</f>
        <v>-0.18891391067662278</v>
      </c>
      <c r="AH5" s="48">
        <f aca="true" t="shared" si="3" ref="AH5:AH22">AC5+AG5</f>
        <v>-0.18403854357538366</v>
      </c>
      <c r="AI5" s="48">
        <f>'data ET'!AC5+'Settings ET'!C17</f>
        <v>37.80487536710124</v>
      </c>
      <c r="AJ5" s="48">
        <f>'Settings ET'!G17</f>
        <v>37.615961456424614</v>
      </c>
      <c r="AL5" s="28">
        <v>1</v>
      </c>
      <c r="AM5" s="28">
        <v>0.25379423076792057</v>
      </c>
      <c r="AN5" s="47">
        <f>'Settings ET'!E17+'Settings ET'!F17</f>
        <v>-10.099741763631666</v>
      </c>
    </row>
    <row r="6" spans="1:40" ht="12.75">
      <c r="A6" s="47" t="s">
        <v>27</v>
      </c>
      <c r="B6" s="47">
        <v>1028</v>
      </c>
      <c r="C6" s="47" t="s">
        <v>10</v>
      </c>
      <c r="H6" s="47">
        <v>2</v>
      </c>
      <c r="I6" s="50">
        <f>'Settings ET'!F18/('data ET'!$B$9/1000)</f>
        <v>-168.28501476648228</v>
      </c>
      <c r="J6" s="50">
        <f>('Settings ET'!E18)/('data ET'!$B$9/1000)</f>
        <v>18.506728603748375</v>
      </c>
      <c r="K6" s="50">
        <f t="shared" si="0"/>
        <v>-149.7782861627339</v>
      </c>
      <c r="L6" s="50">
        <f>'data ET'!AA6</f>
        <v>2952.839791210196</v>
      </c>
      <c r="M6" s="51">
        <f>'Settings ET'!D18/('Settings ET'!$B$6*L6)</f>
        <v>2.0247546687822527E-06</v>
      </c>
      <c r="N6" s="51">
        <f>M6/(4.68*'Settings ET'!$B$6^-0.33)</f>
        <v>1.6707692307692312E-06</v>
      </c>
      <c r="O6" s="48">
        <f>'data ET'!$B$15/'data ET'!$B$16</f>
        <v>2.0833333333333335</v>
      </c>
      <c r="P6" s="48">
        <f>(('Settings ET'!$B$7/100)*(0.01*'data ET'!$B$7*2))/'data ET'!$B$15</f>
        <v>194.49469192193212</v>
      </c>
      <c r="Q6" s="48">
        <f aca="true" t="shared" si="4" ref="Q6:Q22">2+1.3*O6^0.15+0.66*P6^0.5*O6^0.33</f>
        <v>15.178334431638902</v>
      </c>
      <c r="R6" s="48">
        <f>IF('Settings ET'!E18/'data ET'!$B$20*'data ET'!$B$19&lt;'data ET'!$B$18,'data ET'!$B$18,('Settings ET'!E18/'data ET'!$B$20*'data ET'!$B$19))</f>
        <v>0.5</v>
      </c>
      <c r="S6" s="52">
        <f>(('data ET'!J6*('data ET'!$B$7*0.01)^2))/(R6*('data ET'!$B$23+'data ET'!$B$24*('data ET'!AF5)*'data ET'!$B$11))</f>
        <v>0.021771230907270907</v>
      </c>
      <c r="T6" s="53">
        <f>0.622*EXP(6.414+((17.26*'Settings ET'!C18*'Settings ET'!B18/100)/(237.2+'Settings ET'!C18*'Settings ET'!B18/100)))/('data ET'!$B$21-EXP(6.414+((17.26*'Settings ET'!C18)/(237.2+'Settings ET'!C18))))</f>
        <v>0.016095114800355217</v>
      </c>
      <c r="U6" s="54">
        <f>1.005*'Settings ET'!C18+2500*'data ET'!T6+1.86*'data ET'!T6*'Settings ET'!C18</f>
        <v>79.35840233227141</v>
      </c>
      <c r="V6" s="47">
        <f aca="true" t="shared" si="5" ref="V6:V22">V5</f>
        <v>0.027</v>
      </c>
      <c r="W6" s="48">
        <f aca="true" t="shared" si="6" ref="W6:W22">W5</f>
        <v>8.428302605168172</v>
      </c>
      <c r="X6" s="48">
        <f>W6*0.01*'data ET'!$B$7/R6</f>
        <v>0.4098150296542504</v>
      </c>
      <c r="Y6" s="50">
        <f>EXP(6.414+(17.26*'data ET'!AI6)/(237.2+'data ET'!AI6))*((100-0)/100)</f>
        <v>6552.621383480007</v>
      </c>
      <c r="Z6" s="50">
        <f>EXP(6.414+(17.26*'Settings ET'!C18)/(237.2+'Settings ET'!C18))*(('Settings ET'!B18)/100)</f>
        <v>3599.7815922698114</v>
      </c>
      <c r="AA6" s="50">
        <f t="shared" si="1"/>
        <v>2952.839791210196</v>
      </c>
      <c r="AC6" s="48">
        <f>('data ET'!S6/6)*(1+(2*'data ET'!R6)/('data ET'!W6*'data ET'!$B$7*0.01))</f>
        <v>0.021336715208109678</v>
      </c>
      <c r="AE6" s="48">
        <f>'Settings ET'!C18</f>
        <v>37.8</v>
      </c>
      <c r="AF6" s="48">
        <f t="shared" si="2"/>
        <v>0.021336715208109678</v>
      </c>
      <c r="AG6" s="47">
        <f>(-'data ET'!N6*'data ET'!L6*'Settings ET'!D18/(24*60*60)*2.5*10^5)/'data ET'!V6</f>
        <v>-0.1896629054646395</v>
      </c>
      <c r="AH6" s="48">
        <f t="shared" si="3"/>
        <v>-0.1683261902565298</v>
      </c>
      <c r="AI6" s="48">
        <f>'data ET'!AC6+'Settings ET'!C18</f>
        <v>37.821336715208105</v>
      </c>
      <c r="AJ6" s="48">
        <f>'Settings ET'!G18</f>
        <v>37.63167380974347</v>
      </c>
      <c r="AL6" s="28">
        <v>2</v>
      </c>
      <c r="AM6" s="28">
        <v>1.1161284642729954</v>
      </c>
      <c r="AN6" s="47">
        <f>'Settings ET'!E18+'Settings ET'!F18</f>
        <v>-9.238324690517427</v>
      </c>
    </row>
    <row r="7" spans="1:40" ht="12.75">
      <c r="A7" s="47" t="s">
        <v>36</v>
      </c>
      <c r="B7" s="48">
        <f>((B9/4.1783)^0.33)</f>
        <v>2.431183649024151</v>
      </c>
      <c r="C7" s="47" t="s">
        <v>9</v>
      </c>
      <c r="H7" s="47">
        <v>3</v>
      </c>
      <c r="I7" s="50">
        <f>'Settings ET'!F19/('data ET'!$B$9/1000)</f>
        <v>-168.2280686954633</v>
      </c>
      <c r="J7" s="50">
        <f>('Settings ET'!E19)/('data ET'!$B$9/1000)</f>
        <v>16.32614592801817</v>
      </c>
      <c r="K7" s="50">
        <f t="shared" si="0"/>
        <v>-151.90192276744511</v>
      </c>
      <c r="L7" s="50">
        <f>'data ET'!AA7</f>
        <v>2951.840577913093</v>
      </c>
      <c r="M7" s="51">
        <f>'Settings ET'!D19/('Settings ET'!$B$6*L7)</f>
        <v>2.0247546687822527E-06</v>
      </c>
      <c r="N7" s="51">
        <f>M7/(4.68*'Settings ET'!$B$6^-0.33)</f>
        <v>1.6707692307692312E-06</v>
      </c>
      <c r="O7" s="48">
        <f>'data ET'!$B$15/'data ET'!$B$16</f>
        <v>2.0833333333333335</v>
      </c>
      <c r="P7" s="48">
        <f>(('Settings ET'!$B$7/100)*(0.01*'data ET'!$B$7*2))/'data ET'!$B$15</f>
        <v>194.49469192193212</v>
      </c>
      <c r="Q7" s="48">
        <f t="shared" si="4"/>
        <v>15.178334431638902</v>
      </c>
      <c r="R7" s="48">
        <f>IF('Settings ET'!E19/'data ET'!$B$20*'data ET'!$B$19&lt;'data ET'!$B$18,'data ET'!$B$18,('Settings ET'!E19/'data ET'!$B$20*'data ET'!$B$19))</f>
        <v>0.5</v>
      </c>
      <c r="S7" s="52">
        <f>(('data ET'!J7*('data ET'!$B$7*0.01)^2))/(R7*('data ET'!$B$23+'data ET'!$B$24*('data ET'!AF6)*'data ET'!$B$11))</f>
        <v>0.018896451530731953</v>
      </c>
      <c r="T7" s="53">
        <f>0.622*EXP(6.414+((17.26*'Settings ET'!C19*'Settings ET'!B19/100)/(237.2+'Settings ET'!C19*'Settings ET'!B19/100)))/('data ET'!$B$21-EXP(6.414+((17.26*'Settings ET'!C19)/(237.2+'Settings ET'!C19))))</f>
        <v>0.016095114800355217</v>
      </c>
      <c r="U7" s="54">
        <f>1.005*'Settings ET'!C19+2500*'data ET'!T7+1.86*'data ET'!T7*'Settings ET'!C19</f>
        <v>79.35840233227141</v>
      </c>
      <c r="V7" s="47">
        <f t="shared" si="5"/>
        <v>0.027</v>
      </c>
      <c r="W7" s="48">
        <f t="shared" si="6"/>
        <v>8.428302605168172</v>
      </c>
      <c r="X7" s="48">
        <f>W7*0.01*'data ET'!$B$7/R7</f>
        <v>0.4098150296542504</v>
      </c>
      <c r="Y7" s="50">
        <f>EXP(6.414+(17.26*'data ET'!AI7)/(237.2+'data ET'!AI7))*((100-0)/100)</f>
        <v>6551.6221701829045</v>
      </c>
      <c r="Z7" s="50">
        <f>EXP(6.414+(17.26*'Settings ET'!C19)/(237.2+'Settings ET'!C19))*(('Settings ET'!B19)/100)</f>
        <v>3599.7815922698114</v>
      </c>
      <c r="AA7" s="50">
        <f t="shared" si="1"/>
        <v>2951.840577913093</v>
      </c>
      <c r="AC7" s="48">
        <f>('data ET'!S7/6)*(1+(2*'data ET'!R7)/('data ET'!W7*'data ET'!$B$7*0.01))</f>
        <v>0.01851931140101149</v>
      </c>
      <c r="AE7" s="48">
        <f>'Settings ET'!C19</f>
        <v>37.8</v>
      </c>
      <c r="AF7" s="48">
        <f t="shared" si="2"/>
        <v>0.01851931140101149</v>
      </c>
      <c r="AG7" s="47">
        <f>(-'data ET'!N7*'data ET'!L7*'Settings ET'!D19/(24*60*60)*2.5*10^5)/'data ET'!V7</f>
        <v>-0.18953456688505071</v>
      </c>
      <c r="AH7" s="48">
        <f t="shared" si="3"/>
        <v>-0.17101525548403923</v>
      </c>
      <c r="AI7" s="48">
        <f>'data ET'!AC7+'Settings ET'!C19</f>
        <v>37.81851931140101</v>
      </c>
      <c r="AJ7" s="48">
        <f>'Settings ET'!G19</f>
        <v>37.62898474451596</v>
      </c>
      <c r="AL7" s="28">
        <v>3</v>
      </c>
      <c r="AM7" s="28">
        <v>0.9846189768214906</v>
      </c>
      <c r="AN7" s="47">
        <f>'Settings ET'!E19+'Settings ET'!F19</f>
        <v>-9.369310596296016</v>
      </c>
    </row>
    <row r="8" spans="1:40" ht="12.75">
      <c r="A8" s="47" t="s">
        <v>6</v>
      </c>
      <c r="B8" s="48">
        <f>4.69*('Settings ET'!$B$6)^0.66</f>
        <v>69.94435473212027</v>
      </c>
      <c r="C8" s="47" t="s">
        <v>5</v>
      </c>
      <c r="H8" s="47">
        <v>4</v>
      </c>
      <c r="I8" s="50">
        <f>'Settings ET'!F20/('data ET'!$B$9/1000)</f>
        <v>-168.74212313062426</v>
      </c>
      <c r="J8" s="50">
        <f>('Settings ET'!E20)/('data ET'!$B$9/1000)</f>
        <v>41.381759100077126</v>
      </c>
      <c r="K8" s="50">
        <f t="shared" si="0"/>
        <v>-127.36036403054715</v>
      </c>
      <c r="L8" s="50">
        <f>'data ET'!AA8</f>
        <v>2960.8605158623973</v>
      </c>
      <c r="M8" s="51">
        <f>'Settings ET'!D20/('Settings ET'!$B$6*L8)</f>
        <v>2.0247546687822523E-06</v>
      </c>
      <c r="N8" s="51">
        <f>M8/(4.68*'Settings ET'!$B$6^-0.33)</f>
        <v>1.6707692307692308E-06</v>
      </c>
      <c r="O8" s="48">
        <f>'data ET'!$B$15/'data ET'!$B$16</f>
        <v>2.0833333333333335</v>
      </c>
      <c r="P8" s="48">
        <f>(('Settings ET'!$B$7/100)*(0.01*'data ET'!$B$7*2))/'data ET'!$B$15</f>
        <v>194.49469192193212</v>
      </c>
      <c r="Q8" s="48">
        <f t="shared" si="4"/>
        <v>15.178334431638902</v>
      </c>
      <c r="R8" s="48">
        <f>IF('Settings ET'!E20/'data ET'!$B$20*'data ET'!$B$19&lt;'data ET'!$B$18,'data ET'!$B$18,('Settings ET'!E20/'data ET'!$B$20*'data ET'!$B$19))</f>
        <v>0.8213619490193357</v>
      </c>
      <c r="S8" s="52">
        <f>(('data ET'!J8*('data ET'!$B$7*0.01)^2))/(R8*('data ET'!$B$23+'data ET'!$B$24*('data ET'!AF7)*'data ET'!$B$11))</f>
        <v>0.029237526827570807</v>
      </c>
      <c r="T8" s="53">
        <f>0.622*EXP(6.414+((17.26*'Settings ET'!C20*'Settings ET'!B20/100)/(237.2+'Settings ET'!C20*'Settings ET'!B20/100)))/('data ET'!$B$21-EXP(6.414+((17.26*'Settings ET'!C20)/(237.2+'Settings ET'!C20))))</f>
        <v>0.016095114800355217</v>
      </c>
      <c r="U8" s="54">
        <f>1.005*'Settings ET'!C20+2500*'data ET'!T8+1.86*'data ET'!T8*'Settings ET'!C20</f>
        <v>79.35840233227141</v>
      </c>
      <c r="V8" s="47">
        <f t="shared" si="5"/>
        <v>0.027</v>
      </c>
      <c r="W8" s="48">
        <f t="shared" si="6"/>
        <v>8.428302605168172</v>
      </c>
      <c r="X8" s="48">
        <f>W8*0.01*'data ET'!$B$7/R8</f>
        <v>0.2494728603775404</v>
      </c>
      <c r="Y8" s="50">
        <f>EXP(6.414+(17.26*'data ET'!AI8)/(237.2+'data ET'!AI8))*((100-0)/100)</f>
        <v>6560.642108132209</v>
      </c>
      <c r="Z8" s="50">
        <f>EXP(6.414+(17.26*'Settings ET'!C20)/(237.2+'Settings ET'!C20))*(('Settings ET'!B20)/100)</f>
        <v>3599.7815922698114</v>
      </c>
      <c r="AA8" s="50">
        <f t="shared" si="1"/>
        <v>2960.8605158623973</v>
      </c>
      <c r="AC8" s="48">
        <f>('data ET'!S8/6)*(1+(2*'data ET'!R8)/('data ET'!W8*'data ET'!$B$7*0.01))</f>
        <v>0.043938662642267014</v>
      </c>
      <c r="AE8" s="48">
        <f>'Settings ET'!C20</f>
        <v>37.8</v>
      </c>
      <c r="AF8" s="48">
        <f t="shared" si="2"/>
        <v>0.043938662642267014</v>
      </c>
      <c r="AG8" s="47">
        <f>(-'data ET'!N8*'data ET'!L8*'Settings ET'!D20/(24*60*60)*2.5*10^5)/'data ET'!V8</f>
        <v>-0.1906946580106462</v>
      </c>
      <c r="AH8" s="48">
        <f t="shared" si="3"/>
        <v>-0.1467559953683792</v>
      </c>
      <c r="AI8" s="48">
        <f>'data ET'!AC8+'Settings ET'!C20</f>
        <v>37.843938662642266</v>
      </c>
      <c r="AJ8" s="48">
        <f>'Settings ET'!G20</f>
        <v>37.65324400463162</v>
      </c>
      <c r="AL8" s="28">
        <v>4</v>
      </c>
      <c r="AM8" s="28">
        <v>2.4957063034862514</v>
      </c>
      <c r="AN8" s="47">
        <f>'Settings ET'!E20+'Settings ET'!F20</f>
        <v>-7.855587253404147</v>
      </c>
    </row>
    <row r="9" spans="1:40" ht="12.75">
      <c r="A9" s="47" t="s">
        <v>7</v>
      </c>
      <c r="B9" s="48">
        <f>'Settings ET'!B6*B6/1000</f>
        <v>61.68</v>
      </c>
      <c r="C9" s="47" t="s">
        <v>8</v>
      </c>
      <c r="H9" s="47">
        <v>5</v>
      </c>
      <c r="I9" s="50">
        <f>'Settings ET'!F21/('data ET'!$B$9/1000)</f>
        <v>-169.19851411410042</v>
      </c>
      <c r="J9" s="50">
        <f>('Settings ET'!E21)/('data ET'!$B$9/1000)</f>
        <v>67.0183765469049</v>
      </c>
      <c r="K9" s="50">
        <f t="shared" si="0"/>
        <v>-102.18013756719552</v>
      </c>
      <c r="L9" s="50">
        <f>'data ET'!AA9</f>
        <v>2968.868652880586</v>
      </c>
      <c r="M9" s="51">
        <f>'Settings ET'!D21/('Settings ET'!$B$6*L9)</f>
        <v>2.0247546687822527E-06</v>
      </c>
      <c r="N9" s="51">
        <f>M9/(4.68*'Settings ET'!$B$6^-0.33)</f>
        <v>1.6707692307692312E-06</v>
      </c>
      <c r="O9" s="48">
        <f>'data ET'!$B$15/'data ET'!$B$16</f>
        <v>2.0833333333333335</v>
      </c>
      <c r="P9" s="48">
        <f>(('Settings ET'!$B$7/100)*(0.01*'data ET'!$B$7*2))/'data ET'!$B$15</f>
        <v>194.49469192193212</v>
      </c>
      <c r="Q9" s="48">
        <f t="shared" si="4"/>
        <v>15.178334431638902</v>
      </c>
      <c r="R9" s="48">
        <f>IF('Settings ET'!E21/'data ET'!$B$20*'data ET'!$B$19&lt;'data ET'!$B$18,'data ET'!$B$18,('Settings ET'!E21/'data ET'!$B$20*'data ET'!$B$19))</f>
        <v>1.3302079364860775</v>
      </c>
      <c r="S9" s="52">
        <f>(('data ET'!J9*('data ET'!$B$7*0.01)^2))/(R9*('data ET'!$B$23+'data ET'!$B$24*('data ET'!AF8)*'data ET'!$B$11))</f>
        <v>0.02852560859860649</v>
      </c>
      <c r="T9" s="53">
        <f>0.622*EXP(6.414+((17.26*'Settings ET'!C21*'Settings ET'!B21/100)/(237.2+'Settings ET'!C21*'Settings ET'!B21/100)))/('data ET'!$B$21-EXP(6.414+((17.26*'Settings ET'!C21)/(237.2+'Settings ET'!C21))))</f>
        <v>0.016095114800355217</v>
      </c>
      <c r="U9" s="54">
        <f>1.005*'Settings ET'!C21+2500*'data ET'!T9+1.86*'data ET'!T9*'Settings ET'!C21</f>
        <v>79.35840233227141</v>
      </c>
      <c r="V9" s="47">
        <f t="shared" si="5"/>
        <v>0.027</v>
      </c>
      <c r="W9" s="48">
        <f t="shared" si="6"/>
        <v>8.428302605168172</v>
      </c>
      <c r="X9" s="48">
        <f>W9*0.01*'data ET'!$B$7/R9</f>
        <v>0.1540417172434077</v>
      </c>
      <c r="Y9" s="50">
        <f>EXP(6.414+(17.26*'data ET'!AI9)/(237.2+'data ET'!AI9))*((100-0)/100)</f>
        <v>6568.6502451503975</v>
      </c>
      <c r="Z9" s="50">
        <f>EXP(6.414+(17.26*'Settings ET'!C21)/(237.2+'Settings ET'!C21))*(('Settings ET'!B21)/100)</f>
        <v>3599.7815922698114</v>
      </c>
      <c r="AA9" s="50">
        <f t="shared" si="1"/>
        <v>2968.868652880586</v>
      </c>
      <c r="AC9" s="48">
        <f>('data ET'!S9/6)*(1+(2*'data ET'!R9)/('data ET'!W9*'data ET'!$B$7*0.01))</f>
        <v>0.06648128834916335</v>
      </c>
      <c r="AE9" s="48">
        <f>'Settings ET'!C21</f>
        <v>37.8</v>
      </c>
      <c r="AF9" s="48">
        <f t="shared" si="2"/>
        <v>0.06648128834916335</v>
      </c>
      <c r="AG9" s="47">
        <f>(-'data ET'!N9*'data ET'!L9*'Settings ET'!D21/(24*60*60)*2.5*10^5)/'data ET'!V9</f>
        <v>-0.19172758347347704</v>
      </c>
      <c r="AH9" s="48">
        <f t="shared" si="3"/>
        <v>-0.12524629512431368</v>
      </c>
      <c r="AI9" s="48">
        <f>'data ET'!AC9+'Settings ET'!C21</f>
        <v>37.86648128834916</v>
      </c>
      <c r="AJ9" s="48">
        <f>'Settings ET'!G21</f>
        <v>37.674753704875684</v>
      </c>
      <c r="AL9" s="28">
        <v>5</v>
      </c>
      <c r="AM9" s="28">
        <v>4.041833610626138</v>
      </c>
      <c r="AN9" s="47">
        <f>'Settings ET'!E21+'Settings ET'!F21</f>
        <v>-6.302470885144619</v>
      </c>
    </row>
    <row r="10" spans="8:40" ht="12.75">
      <c r="H10" s="47">
        <v>6</v>
      </c>
      <c r="I10" s="50">
        <f>'Settings ET'!F22/('data ET'!$B$9/1000)</f>
        <v>-169.80714893772662</v>
      </c>
      <c r="J10" s="50">
        <f>('Settings ET'!E22)/('data ET'!$B$9/1000)</f>
        <v>101.8802570327253</v>
      </c>
      <c r="K10" s="50">
        <f t="shared" si="0"/>
        <v>-67.92689190500133</v>
      </c>
      <c r="L10" s="50">
        <f>'data ET'!AA10</f>
        <v>2979.548160666906</v>
      </c>
      <c r="M10" s="51">
        <f>'Settings ET'!D22/('Settings ET'!$B$6*L10)</f>
        <v>2.024754668782253E-06</v>
      </c>
      <c r="N10" s="51">
        <f>M10/(4.68*'Settings ET'!$B$6^-0.33)</f>
        <v>1.6707692307692316E-06</v>
      </c>
      <c r="O10" s="48">
        <f>'data ET'!$B$15/'data ET'!$B$16</f>
        <v>2.0833333333333335</v>
      </c>
      <c r="P10" s="48">
        <f>(('Settings ET'!$B$7/100)*(0.01*'data ET'!$B$7*2))/'data ET'!$B$15</f>
        <v>194.49469192193212</v>
      </c>
      <c r="Q10" s="48">
        <f t="shared" si="4"/>
        <v>15.178334431638902</v>
      </c>
      <c r="R10" s="48">
        <f>IF('Settings ET'!E22/'data ET'!$B$20*'data ET'!$B$19&lt;'data ET'!$B$18,'data ET'!$B$18,('Settings ET'!E22/'data ET'!$B$20*'data ET'!$B$19))</f>
        <v>2.022160688737714</v>
      </c>
      <c r="S10" s="52">
        <f>(('data ET'!J10*('data ET'!$B$7*0.01)^2))/(R10*('data ET'!$B$23+'data ET'!$B$24*('data ET'!AF9)*'data ET'!$B$11))</f>
        <v>0.027922651824095066</v>
      </c>
      <c r="T10" s="53">
        <f>0.622*EXP(6.414+((17.26*'Settings ET'!C22*'Settings ET'!B22/100)/(237.2+'Settings ET'!C22*'Settings ET'!B22/100)))/('data ET'!$B$21-EXP(6.414+((17.26*'Settings ET'!C22)/(237.2+'Settings ET'!C22))))</f>
        <v>0.016095114800355217</v>
      </c>
      <c r="U10" s="54">
        <f>1.005*'Settings ET'!C22+2500*'data ET'!T10+1.86*'data ET'!T10*'Settings ET'!C22</f>
        <v>79.35840233227141</v>
      </c>
      <c r="V10" s="47">
        <f t="shared" si="5"/>
        <v>0.027</v>
      </c>
      <c r="W10" s="48">
        <f t="shared" si="6"/>
        <v>8.428302605168172</v>
      </c>
      <c r="X10" s="48">
        <f>W10*0.01*'data ET'!$B$7/R10</f>
        <v>0.10133097531187488</v>
      </c>
      <c r="Y10" s="50">
        <f>EXP(6.414+(17.26*'data ET'!AI10)/(237.2+'data ET'!AI10))*((100-0)/100)</f>
        <v>6579.329752936717</v>
      </c>
      <c r="Z10" s="50">
        <f>EXP(6.414+(17.26*'Settings ET'!C22)/(237.2+'Settings ET'!C22))*(('Settings ET'!B22)/100)</f>
        <v>3599.7815922698114</v>
      </c>
      <c r="AA10" s="50">
        <f t="shared" si="1"/>
        <v>2979.548160666906</v>
      </c>
      <c r="AC10" s="48">
        <f>('data ET'!S10/6)*(1+(2*'data ET'!R10)/('data ET'!W10*'data ET'!$B$7*0.01))</f>
        <v>0.09650674108654243</v>
      </c>
      <c r="AE10" s="48">
        <f>'Settings ET'!C22</f>
        <v>37.8</v>
      </c>
      <c r="AF10" s="48">
        <f t="shared" si="2"/>
        <v>0.09650674108654243</v>
      </c>
      <c r="AG10" s="47">
        <f>(-'data ET'!N10*'data ET'!L10*'Settings ET'!D22/(24*60*60)*2.5*10^5)/'data ET'!V10</f>
        <v>-0.19310941551677024</v>
      </c>
      <c r="AH10" s="48">
        <f t="shared" si="3"/>
        <v>-0.09660267443022781</v>
      </c>
      <c r="AI10" s="48">
        <f>'data ET'!AC10+'Settings ET'!C22</f>
        <v>37.89650674108654</v>
      </c>
      <c r="AJ10" s="48">
        <f>'Settings ET'!G22</f>
        <v>37.70339732556977</v>
      </c>
      <c r="AL10" s="28">
        <v>6</v>
      </c>
      <c r="AM10" s="28">
        <v>6.144330381472308</v>
      </c>
      <c r="AN10" s="47">
        <f>'Settings ET'!E22+'Settings ET'!F22</f>
        <v>-4.189730692700483</v>
      </c>
    </row>
    <row r="11" spans="1:40" ht="12.75">
      <c r="A11" s="47" t="s">
        <v>47</v>
      </c>
      <c r="B11" s="47">
        <v>1</v>
      </c>
      <c r="C11" s="47" t="s">
        <v>53</v>
      </c>
      <c r="H11" s="47">
        <v>7</v>
      </c>
      <c r="I11" s="50">
        <f>'Settings ET'!F23/('data ET'!$B$9/1000)</f>
        <v>-170.26415527572766</v>
      </c>
      <c r="J11" s="50">
        <f>('Settings ET'!E23)/('data ET'!$B$9/1000)</f>
        <v>130.5727461068238</v>
      </c>
      <c r="K11" s="50">
        <f t="shared" si="0"/>
        <v>-39.691409168903874</v>
      </c>
      <c r="L11" s="50">
        <f>'data ET'!AA11</f>
        <v>2987.5670951011894</v>
      </c>
      <c r="M11" s="51">
        <f>'Settings ET'!D23/('Settings ET'!$B$6*L11)</f>
        <v>2.0247546687822527E-06</v>
      </c>
      <c r="N11" s="51">
        <f>M11/(4.68*'Settings ET'!$B$6^-0.33)</f>
        <v>1.6707692307692312E-06</v>
      </c>
      <c r="O11" s="48">
        <f>'data ET'!$B$15/'data ET'!$B$16</f>
        <v>2.0833333333333335</v>
      </c>
      <c r="P11" s="48">
        <f>(('Settings ET'!$B$7/100)*(0.01*'data ET'!$B$7*2))/'data ET'!$B$15</f>
        <v>194.49469192193212</v>
      </c>
      <c r="Q11" s="48">
        <f t="shared" si="4"/>
        <v>15.178334431638902</v>
      </c>
      <c r="R11" s="48">
        <f>IF('Settings ET'!E23/'data ET'!$B$20*'data ET'!$B$19&lt;'data ET'!$B$18,'data ET'!$B$18,('Settings ET'!E23/'data ET'!$B$20*'data ET'!$B$19))</f>
        <v>2.5916608564595256</v>
      </c>
      <c r="S11" s="52">
        <f>(('data ET'!J11*('data ET'!$B$7*0.01)^2))/(R11*('data ET'!$B$23+'data ET'!$B$24*('data ET'!AF10)*'data ET'!$B$11))</f>
        <v>0.027158050722039015</v>
      </c>
      <c r="T11" s="53">
        <f>0.622*EXP(6.414+((17.26*'Settings ET'!C23*'Settings ET'!B23/100)/(237.2+'Settings ET'!C23*'Settings ET'!B23/100)))/('data ET'!$B$21-EXP(6.414+((17.26*'Settings ET'!C23)/(237.2+'Settings ET'!C23))))</f>
        <v>0.016095114800355217</v>
      </c>
      <c r="U11" s="54">
        <f>1.005*'Settings ET'!C23+2500*'data ET'!T11+1.86*'data ET'!T11*'Settings ET'!C23</f>
        <v>79.35840233227141</v>
      </c>
      <c r="V11" s="47">
        <f t="shared" si="5"/>
        <v>0.027</v>
      </c>
      <c r="W11" s="48">
        <f t="shared" si="6"/>
        <v>8.428302605168172</v>
      </c>
      <c r="X11" s="48">
        <f>W11*0.01*'data ET'!$B$7/R11</f>
        <v>0.07906417011176758</v>
      </c>
      <c r="Y11" s="50">
        <f>EXP(6.414+(17.26*'data ET'!AI11)/(237.2+'data ET'!AI11))*((100-0)/100)</f>
        <v>6587.348687371001</v>
      </c>
      <c r="Z11" s="50">
        <f>EXP(6.414+(17.26*'Settings ET'!C23)/(237.2+'Settings ET'!C23))*(('Settings ET'!B23)/100)</f>
        <v>3599.7815922698114</v>
      </c>
      <c r="AA11" s="50">
        <f t="shared" si="1"/>
        <v>2987.5670951011894</v>
      </c>
      <c r="AC11" s="48">
        <f>('data ET'!S11/6)*(1+(2*'data ET'!R11)/('data ET'!W11*'data ET'!$B$7*0.01))</f>
        <v>0.11902426873945347</v>
      </c>
      <c r="AE11" s="48">
        <f>'Settings ET'!C23</f>
        <v>37.8</v>
      </c>
      <c r="AF11" s="48">
        <f t="shared" si="2"/>
        <v>0.11902426873945347</v>
      </c>
      <c r="AG11" s="47">
        <f>(-'data ET'!N11*'data ET'!L11*'Settings ET'!D23/(24*60*60)*2.5*10^5)/'data ET'!V11</f>
        <v>-0.19415025490560833</v>
      </c>
      <c r="AH11" s="48">
        <f t="shared" si="3"/>
        <v>-0.07512598616615486</v>
      </c>
      <c r="AI11" s="48">
        <f>'data ET'!AC11+'Settings ET'!C23</f>
        <v>37.91902426873945</v>
      </c>
      <c r="AJ11" s="48">
        <f>'Settings ET'!G23</f>
        <v>37.72487401383384</v>
      </c>
      <c r="AL11" s="28">
        <v>7</v>
      </c>
      <c r="AM11" s="28">
        <v>7.874755269205139</v>
      </c>
      <c r="AN11" s="47">
        <f>'Settings ET'!E23+'Settings ET'!F23</f>
        <v>-2.4481661175379905</v>
      </c>
    </row>
    <row r="12" spans="8:40" ht="12.75">
      <c r="H12" s="47">
        <v>8</v>
      </c>
      <c r="I12" s="50">
        <f>'Settings ET'!F24/('data ET'!$B$9/1000)</f>
        <v>-171.16631585216916</v>
      </c>
      <c r="J12" s="50">
        <f>('Settings ET'!E24)/('data ET'!$B$9/1000)</f>
        <v>185.0119267081336</v>
      </c>
      <c r="K12" s="50">
        <f t="shared" si="0"/>
        <v>13.845610855964424</v>
      </c>
      <c r="L12" s="50">
        <f>'data ET'!AA12</f>
        <v>3003.39699921876</v>
      </c>
      <c r="M12" s="51">
        <f>'Settings ET'!D24/('Settings ET'!$B$6*L12)</f>
        <v>2.0247546687822527E-06</v>
      </c>
      <c r="N12" s="51">
        <f>M12/(4.68*'Settings ET'!$B$6^-0.33)</f>
        <v>1.6707692307692312E-06</v>
      </c>
      <c r="O12" s="48">
        <f>'data ET'!$B$15/'data ET'!$B$16</f>
        <v>2.0833333333333335</v>
      </c>
      <c r="P12" s="48">
        <f>(('Settings ET'!$B$7/100)*(0.01*'data ET'!$B$7*2))/'data ET'!$B$15</f>
        <v>194.49469192193212</v>
      </c>
      <c r="Q12" s="48">
        <f t="shared" si="4"/>
        <v>15.178334431638902</v>
      </c>
      <c r="R12" s="48">
        <f>IF('Settings ET'!E24/'data ET'!$B$20*'data ET'!$B$19&lt;'data ET'!$B$18,'data ET'!$B$18,('Settings ET'!E24/'data ET'!$B$20*'data ET'!$B$19))</f>
        <v>3.6721918066680703</v>
      </c>
      <c r="S12" s="52">
        <f>(('data ET'!J12*('data ET'!$B$7*0.01)^2))/(R12*('data ET'!$B$23+'data ET'!$B$24*('data ET'!AF11)*'data ET'!$B$11))</f>
        <v>0.026611563773349736</v>
      </c>
      <c r="T12" s="53">
        <f>0.622*EXP(6.414+((17.26*'Settings ET'!C24*'Settings ET'!B24/100)/(237.2+'Settings ET'!C24*'Settings ET'!B24/100)))/('data ET'!$B$21-EXP(6.414+((17.26*'Settings ET'!C24)/(237.2+'Settings ET'!C24))))</f>
        <v>0.016095114800355217</v>
      </c>
      <c r="U12" s="54">
        <f>1.005*'Settings ET'!C24+2500*'data ET'!T12+1.86*'data ET'!T12*'Settings ET'!C24</f>
        <v>79.35840233227141</v>
      </c>
      <c r="V12" s="47">
        <f t="shared" si="5"/>
        <v>0.027</v>
      </c>
      <c r="W12" s="48">
        <f t="shared" si="6"/>
        <v>8.428302605168172</v>
      </c>
      <c r="X12" s="48">
        <f>W12*0.01*'data ET'!$B$7/R12</f>
        <v>0.05579978541835649</v>
      </c>
      <c r="Y12" s="50">
        <f>EXP(6.414+(17.26*'data ET'!AI12)/(237.2+'data ET'!AI12))*((100-0)/100)</f>
        <v>6603.178591488571</v>
      </c>
      <c r="Z12" s="50">
        <f>EXP(6.414+(17.26*'Settings ET'!C24)/(237.2+'Settings ET'!C24))*(('Settings ET'!B24)/100)</f>
        <v>3599.7815922698114</v>
      </c>
      <c r="AA12" s="50">
        <f t="shared" si="1"/>
        <v>3003.39699921876</v>
      </c>
      <c r="AC12" s="48">
        <f>('data ET'!S12/6)*(1+(2*'data ET'!R12)/('data ET'!W12*'data ET'!$B$7*0.01))</f>
        <v>0.16340578697190342</v>
      </c>
      <c r="AE12" s="48">
        <f>'Settings ET'!C24</f>
        <v>37.8</v>
      </c>
      <c r="AF12" s="48">
        <f t="shared" si="2"/>
        <v>0.16340578697190342</v>
      </c>
      <c r="AG12" s="47">
        <f>(-'data ET'!N12*'data ET'!L12*'Settings ET'!D24/(24*60*60)*2.5*10^5)/'data ET'!V12</f>
        <v>-0.19621315231823142</v>
      </c>
      <c r="AH12" s="48">
        <f t="shared" si="3"/>
        <v>-0.032807365346328</v>
      </c>
      <c r="AI12" s="48">
        <f>'data ET'!AC12+'Settings ET'!C24</f>
        <v>37.9634057869719</v>
      </c>
      <c r="AJ12" s="48">
        <f>'Settings ET'!G24</f>
        <v>37.76719263465367</v>
      </c>
      <c r="AL12" s="28">
        <v>8</v>
      </c>
      <c r="AM12" s="28">
        <v>11.157945958483065</v>
      </c>
      <c r="AN12" s="47">
        <f>'Settings ET'!E24+'Settings ET'!F24</f>
        <v>0.8539972775958855</v>
      </c>
    </row>
    <row r="13" spans="5:40" ht="12.75">
      <c r="E13" s="55" t="s">
        <v>33</v>
      </c>
      <c r="H13" s="47">
        <v>9</v>
      </c>
      <c r="I13" s="50">
        <f>'Settings ET'!F25/('data ET'!$B$9/1000)</f>
        <v>-172.22207273068503</v>
      </c>
      <c r="J13" s="50">
        <f>('Settings ET'!E25)/('data ET'!$B$9/1000)</f>
        <v>255.25608946920056</v>
      </c>
      <c r="K13" s="50">
        <f t="shared" si="0"/>
        <v>83.03401673851553</v>
      </c>
      <c r="L13" s="50">
        <f>'data ET'!AA13</f>
        <v>3021.92200529284</v>
      </c>
      <c r="M13" s="51">
        <f>'Settings ET'!D25/('Settings ET'!$B$6*L13)</f>
        <v>2.0247546687822527E-06</v>
      </c>
      <c r="N13" s="51">
        <f>M13/(4.68*'Settings ET'!$B$6^-0.33)</f>
        <v>1.6707692307692312E-06</v>
      </c>
      <c r="O13" s="48">
        <f>'data ET'!$B$15/'data ET'!$B$16</f>
        <v>2.0833333333333335</v>
      </c>
      <c r="P13" s="48">
        <f>(('Settings ET'!$B$7/100)*(0.01*'data ET'!$B$7*2))/'data ET'!$B$15</f>
        <v>194.49469192193212</v>
      </c>
      <c r="Q13" s="48">
        <f t="shared" si="4"/>
        <v>15.178334431638902</v>
      </c>
      <c r="R13" s="48">
        <f>IF('Settings ET'!E25/'data ET'!$B$20*'data ET'!$B$19&lt;'data ET'!$B$18,'data ET'!$B$18,('Settings ET'!E25/'data ET'!$B$20*'data ET'!$B$19))</f>
        <v>5.066426457088088</v>
      </c>
      <c r="S13" s="52">
        <f>(('data ET'!J13*('data ET'!$B$7*0.01)^2))/(R13*('data ET'!$B$23+'data ET'!$B$24*('data ET'!AF12)*'data ET'!$B$11))</f>
        <v>0.02559638779947481</v>
      </c>
      <c r="T13" s="53">
        <f>0.622*EXP(6.414+((17.26*'Settings ET'!C25*'Settings ET'!B25/100)/(237.2+'Settings ET'!C25*'Settings ET'!B25/100)))/('data ET'!$B$21-EXP(6.414+((17.26*'Settings ET'!C25)/(237.2+'Settings ET'!C25))))</f>
        <v>0.016095114800355217</v>
      </c>
      <c r="U13" s="54">
        <f>1.005*'Settings ET'!C25+2500*'data ET'!T13+1.86*'data ET'!T13*'Settings ET'!C25</f>
        <v>79.35840233227141</v>
      </c>
      <c r="V13" s="47">
        <f t="shared" si="5"/>
        <v>0.027</v>
      </c>
      <c r="W13" s="48">
        <f t="shared" si="6"/>
        <v>8.428302605168172</v>
      </c>
      <c r="X13" s="48">
        <f>W13*0.01*'data ET'!$B$7/R13</f>
        <v>0.040444190113616114</v>
      </c>
      <c r="Y13" s="50">
        <f>EXP(6.414+(17.26*'data ET'!AI13)/(237.2+'data ET'!AI13))*((100-0)/100)</f>
        <v>6621.703597562651</v>
      </c>
      <c r="Z13" s="50">
        <f>EXP(6.414+(17.26*'Settings ET'!C25)/(237.2+'Settings ET'!C25))*(('Settings ET'!B25)/100)</f>
        <v>3599.7815922698114</v>
      </c>
      <c r="AA13" s="50">
        <f t="shared" si="1"/>
        <v>3021.92200529284</v>
      </c>
      <c r="AC13" s="48">
        <f>('data ET'!S13/6)*(1+(2*'data ET'!R13)/('data ET'!W13*'data ET'!$B$7*0.01))</f>
        <v>0.2152266313431511</v>
      </c>
      <c r="AE13" s="48">
        <f>'Settings ET'!C25</f>
        <v>37.8</v>
      </c>
      <c r="AF13" s="48">
        <f t="shared" si="2"/>
        <v>0.2152266313431511</v>
      </c>
      <c r="AG13" s="47">
        <f>(-'data ET'!N13*'data ET'!L13*'Settings ET'!D25/(24*60*60)*2.5*10^5)/'data ET'!V13</f>
        <v>-0.19864110956042297</v>
      </c>
      <c r="AH13" s="48">
        <f t="shared" si="3"/>
        <v>0.016585521782728124</v>
      </c>
      <c r="AI13" s="48">
        <f>'data ET'!AC13+'Settings ET'!C25</f>
        <v>38.01522663134315</v>
      </c>
      <c r="AJ13" s="48">
        <f>'Settings ET'!G25</f>
        <v>37.81658552178273</v>
      </c>
      <c r="AL13" s="28">
        <v>9</v>
      </c>
      <c r="AM13" s="28">
        <v>15.394324585161172</v>
      </c>
      <c r="AN13" s="47">
        <f>'Settings ET'!E25+'Settings ET'!F25</f>
        <v>5.121538152431638</v>
      </c>
    </row>
    <row r="14" spans="1:40" ht="12.75">
      <c r="A14" s="47" t="s">
        <v>14</v>
      </c>
      <c r="B14" s="47">
        <v>0.905</v>
      </c>
      <c r="C14" s="47">
        <f>B14*10^-10*'Settings ET'!$B$6^-0.33</f>
        <v>2.343466051831311E-11</v>
      </c>
      <c r="D14" s="47" t="s">
        <v>12</v>
      </c>
      <c r="H14" s="47">
        <v>10</v>
      </c>
      <c r="I14" s="50">
        <f>'Settings ET'!F26/('data ET'!$B$9/1000)</f>
        <v>-173.6834121683515</v>
      </c>
      <c r="J14" s="50">
        <f>('Settings ET'!E26)/('data ET'!$B$9/1000)</f>
        <v>357.2496891797464</v>
      </c>
      <c r="K14" s="50">
        <f t="shared" si="0"/>
        <v>183.56627701139487</v>
      </c>
      <c r="L14" s="50">
        <f>'data ET'!AA14</f>
        <v>3047.563630282409</v>
      </c>
      <c r="M14" s="51">
        <f>'Settings ET'!D26/('Settings ET'!$B$6*L14)</f>
        <v>2.0247546687822527E-06</v>
      </c>
      <c r="N14" s="51">
        <f>M14/(4.68*'Settings ET'!$B$6^-0.33)</f>
        <v>1.6707692307692312E-06</v>
      </c>
      <c r="O14" s="48">
        <f>'data ET'!$B$15/'data ET'!$B$16</f>
        <v>2.0833333333333335</v>
      </c>
      <c r="P14" s="48">
        <f>(('Settings ET'!$B$7/100)*(0.01*'data ET'!$B$7*2))/'data ET'!$B$15</f>
        <v>194.49469192193212</v>
      </c>
      <c r="Q14" s="48">
        <f t="shared" si="4"/>
        <v>15.178334431638902</v>
      </c>
      <c r="R14" s="48">
        <f>IF('Settings ET'!E26/'data ET'!$B$20*'data ET'!$B$19&lt;'data ET'!$B$18,'data ET'!$B$18,('Settings ET'!E26/'data ET'!$B$20*'data ET'!$B$19))</f>
        <v>7.090836817294252</v>
      </c>
      <c r="S14" s="52">
        <f>(('data ET'!J14*('data ET'!$B$7*0.01)^2))/(R14*('data ET'!$B$23+'data ET'!$B$24*('data ET'!AF13)*'data ET'!$B$11))</f>
        <v>0.02450488240088375</v>
      </c>
      <c r="T14" s="53">
        <f>0.622*EXP(6.414+((17.26*'Settings ET'!C26*'Settings ET'!B26/100)/(237.2+'Settings ET'!C26*'Settings ET'!B26/100)))/('data ET'!$B$21-EXP(6.414+((17.26*'Settings ET'!C26)/(237.2+'Settings ET'!C26))))</f>
        <v>0.016095114800355217</v>
      </c>
      <c r="U14" s="54">
        <f>1.005*'Settings ET'!C26+2500*'data ET'!T14+1.86*'data ET'!T14*'Settings ET'!C26</f>
        <v>79.35840233227141</v>
      </c>
      <c r="V14" s="47">
        <f t="shared" si="5"/>
        <v>0.027</v>
      </c>
      <c r="W14" s="48">
        <f t="shared" si="6"/>
        <v>8.428302605168172</v>
      </c>
      <c r="X14" s="48">
        <f>W14*0.01*'data ET'!$B$7/R14</f>
        <v>0.028897508165378224</v>
      </c>
      <c r="Y14" s="50">
        <f>EXP(6.414+(17.26*'data ET'!AI14)/(237.2+'data ET'!AI14))*((100-0)/100)</f>
        <v>6647.345222552221</v>
      </c>
      <c r="Z14" s="50">
        <f>EXP(6.414+(17.26*'Settings ET'!C26)/(237.2+'Settings ET'!C26))*(('Settings ET'!B26)/100)</f>
        <v>3599.7815922698114</v>
      </c>
      <c r="AA14" s="50">
        <f t="shared" si="1"/>
        <v>3047.563630282409</v>
      </c>
      <c r="AC14" s="48">
        <f>('data ET'!S14/6)*(1+(2*'data ET'!R14)/('data ET'!W14*'data ET'!$B$7*0.01))</f>
        <v>0.28674845455247655</v>
      </c>
      <c r="AE14" s="48">
        <f>'Settings ET'!C26</f>
        <v>37.8</v>
      </c>
      <c r="AF14" s="48">
        <f t="shared" si="2"/>
        <v>0.28674845455247655</v>
      </c>
      <c r="AG14" s="47">
        <f>(-'data ET'!N14*'data ET'!L14*'Settings ET'!D26/(24*60*60)*2.5*10^5)/'data ET'!V14</f>
        <v>-0.20202643217440852</v>
      </c>
      <c r="AH14" s="48">
        <f t="shared" si="3"/>
        <v>0.08472202237806803</v>
      </c>
      <c r="AI14" s="48">
        <f>'data ET'!AC14+'Settings ET'!C26</f>
        <v>38.08674845455247</v>
      </c>
      <c r="AJ14" s="48">
        <f>'Settings ET'!G26</f>
        <v>37.884722022378064</v>
      </c>
      <c r="AL14" s="28">
        <v>10</v>
      </c>
      <c r="AM14" s="28">
        <v>21.545490587971052</v>
      </c>
      <c r="AN14" s="47">
        <f>'Settings ET'!E26+'Settings ET'!F26</f>
        <v>11.322367966062835</v>
      </c>
    </row>
    <row r="15" spans="1:40" ht="12.75">
      <c r="A15" s="47" t="s">
        <v>20</v>
      </c>
      <c r="B15" s="47">
        <f>2.5*10^-5</f>
        <v>2.5E-05</v>
      </c>
      <c r="C15" s="47" t="s">
        <v>19</v>
      </c>
      <c r="H15" s="47">
        <v>11</v>
      </c>
      <c r="I15" s="50">
        <f>'Settings ET'!F27/('data ET'!$B$9/1000)</f>
        <v>-175.46183664294102</v>
      </c>
      <c r="J15" s="50">
        <f>('Settings ET'!E27)/('data ET'!$B$9/1000)</f>
        <v>494.6315301464995</v>
      </c>
      <c r="K15" s="50">
        <f t="shared" si="0"/>
        <v>319.16969350355845</v>
      </c>
      <c r="L15" s="50">
        <f>'data ET'!AA15</f>
        <v>3078.769038330873</v>
      </c>
      <c r="M15" s="51">
        <f>'Settings ET'!D27/('Settings ET'!$B$6*L15)</f>
        <v>2.0247546687822527E-06</v>
      </c>
      <c r="N15" s="51">
        <f>M15/(4.68*'Settings ET'!$B$6^-0.33)</f>
        <v>1.6707692307692312E-06</v>
      </c>
      <c r="O15" s="48">
        <f>'data ET'!$B$15/'data ET'!$B$16</f>
        <v>2.0833333333333335</v>
      </c>
      <c r="P15" s="48">
        <f>(('Settings ET'!$B$7/100)*(0.01*'data ET'!$B$7*2))/'data ET'!$B$15</f>
        <v>194.49469192193212</v>
      </c>
      <c r="Q15" s="48">
        <f t="shared" si="4"/>
        <v>15.178334431638902</v>
      </c>
      <c r="R15" s="48">
        <f>IF('Settings ET'!E27/'data ET'!$B$20*'data ET'!$B$19&lt;'data ET'!$B$18,'data ET'!$B$18,('Settings ET'!E27/'data ET'!$B$20*'data ET'!$B$19))</f>
        <v>9.817647351941302</v>
      </c>
      <c r="S15" s="52">
        <f>(('data ET'!J15*('data ET'!$B$7*0.01)^2))/(R15*('data ET'!$B$23+'data ET'!$B$24*('data ET'!AF14)*'data ET'!$B$11))</f>
        <v>0.02314281830774996</v>
      </c>
      <c r="T15" s="53">
        <f>0.622*EXP(6.414+((17.26*'Settings ET'!C27*'Settings ET'!B27/100)/(237.2+'Settings ET'!C27*'Settings ET'!B27/100)))/('data ET'!$B$21-EXP(6.414+((17.26*'Settings ET'!C27)/(237.2+'Settings ET'!C27))))</f>
        <v>0.016095114800355217</v>
      </c>
      <c r="U15" s="54">
        <f>1.005*'Settings ET'!C27+2500*'data ET'!T15+1.86*'data ET'!T15*'Settings ET'!C27</f>
        <v>79.35840233227141</v>
      </c>
      <c r="V15" s="47">
        <f t="shared" si="5"/>
        <v>0.027</v>
      </c>
      <c r="W15" s="48">
        <f t="shared" si="6"/>
        <v>8.428302605168172</v>
      </c>
      <c r="X15" s="48">
        <f>W15*0.01*'data ET'!$B$7/R15</f>
        <v>0.02087134600394947</v>
      </c>
      <c r="Y15" s="50">
        <f>EXP(6.414+(17.26*'data ET'!AI15)/(237.2+'data ET'!AI15))*((100-0)/100)</f>
        <v>6678.550630600685</v>
      </c>
      <c r="Z15" s="50">
        <f>EXP(6.414+(17.26*'Settings ET'!C27)/(237.2+'Settings ET'!C27))*(('Settings ET'!B27)/100)</f>
        <v>3599.7815922698114</v>
      </c>
      <c r="AA15" s="50">
        <f t="shared" si="1"/>
        <v>3078.769038330873</v>
      </c>
      <c r="AC15" s="48">
        <f>('data ET'!S15/6)*(1+(2*'data ET'!R15)/('data ET'!W15*'data ET'!$B$7*0.01))</f>
        <v>0.37346783460170313</v>
      </c>
      <c r="AE15" s="48">
        <f>'Settings ET'!C27</f>
        <v>37.8</v>
      </c>
      <c r="AF15" s="48">
        <f t="shared" si="2"/>
        <v>0.37346783460170313</v>
      </c>
      <c r="AG15" s="47">
        <f>(-'data ET'!N15*'data ET'!L15*'Settings ET'!D27/(24*60*60)*2.5*10^5)/'data ET'!V15</f>
        <v>-0.2061848973785565</v>
      </c>
      <c r="AH15" s="48">
        <f t="shared" si="3"/>
        <v>0.16728293722314663</v>
      </c>
      <c r="AI15" s="48">
        <f>'data ET'!AC15+'Settings ET'!C27</f>
        <v>38.1734678346017</v>
      </c>
      <c r="AJ15" s="48">
        <f>'Settings ET'!G27</f>
        <v>37.967282937223146</v>
      </c>
      <c r="AL15" s="28">
        <v>11</v>
      </c>
      <c r="AM15" s="28">
        <v>29.83089782878195</v>
      </c>
      <c r="AN15" s="47">
        <f>'Settings ET'!E27+'Settings ET'!F27</f>
        <v>19.686386695299483</v>
      </c>
    </row>
    <row r="16" spans="1:40" ht="12.75">
      <c r="A16" s="47" t="s">
        <v>18</v>
      </c>
      <c r="B16" s="47">
        <f>1.2*10^-5</f>
        <v>1.2E-05</v>
      </c>
      <c r="C16" s="47" t="s">
        <v>19</v>
      </c>
      <c r="H16" s="47">
        <v>12</v>
      </c>
      <c r="I16" s="50">
        <f>'Settings ET'!F28/('data ET'!$B$9/1000)</f>
        <v>-178.6884046250415</v>
      </c>
      <c r="J16" s="50">
        <f>('Settings ET'!E28)/('data ET'!$B$9/1000)</f>
        <v>751.7831287517246</v>
      </c>
      <c r="K16" s="50">
        <f t="shared" si="0"/>
        <v>573.0947241266831</v>
      </c>
      <c r="L16" s="50">
        <f>'data ET'!AA16</f>
        <v>3135.384526880533</v>
      </c>
      <c r="M16" s="51">
        <f>'Settings ET'!D28/('Settings ET'!$B$6*L16)</f>
        <v>2.0247546687822523E-06</v>
      </c>
      <c r="N16" s="51">
        <f>M16/(4.68*'Settings ET'!$B$6^-0.33)</f>
        <v>1.6707692307692308E-06</v>
      </c>
      <c r="O16" s="48">
        <f>'data ET'!$B$15/'data ET'!$B$16</f>
        <v>2.0833333333333335</v>
      </c>
      <c r="P16" s="48">
        <f>(('Settings ET'!$B$7/100)*(0.01*'data ET'!$B$7*2))/'data ET'!$B$15</f>
        <v>194.49469192193212</v>
      </c>
      <c r="Q16" s="48">
        <f t="shared" si="4"/>
        <v>15.178334431638902</v>
      </c>
      <c r="R16" s="48">
        <f>IF('Settings ET'!E28/'data ET'!$B$20*'data ET'!$B$19&lt;'data ET'!$B$18,'data ET'!$B$18,('Settings ET'!E28/'data ET'!$B$20*'data ET'!$B$19))</f>
        <v>14.92169664363591</v>
      </c>
      <c r="S16" s="52">
        <f>(('data ET'!J16*('data ET'!$B$7*0.01)^2))/(R16*('data ET'!$B$23+'data ET'!$B$24*('data ET'!AF15)*'data ET'!$B$11))</f>
        <v>0.021681603996297254</v>
      </c>
      <c r="T16" s="53">
        <f>0.622*EXP(6.414+((17.26*'Settings ET'!C28*'Settings ET'!B28/100)/(237.2+'Settings ET'!C28*'Settings ET'!B28/100)))/('data ET'!$B$21-EXP(6.414+((17.26*'Settings ET'!C28)/(237.2+'Settings ET'!C28))))</f>
        <v>0.016095114800355217</v>
      </c>
      <c r="U16" s="54">
        <f>1.005*'Settings ET'!C28+2500*'data ET'!T16+1.86*'data ET'!T16*'Settings ET'!C28</f>
        <v>79.35840233227141</v>
      </c>
      <c r="V16" s="47">
        <f t="shared" si="5"/>
        <v>0.027</v>
      </c>
      <c r="W16" s="48">
        <f t="shared" si="6"/>
        <v>8.428302605168172</v>
      </c>
      <c r="X16" s="48">
        <f>W16*0.01*'data ET'!$B$7/R16</f>
        <v>0.013732186072454305</v>
      </c>
      <c r="Y16" s="50">
        <f>EXP(6.414+(17.26*'data ET'!AI16)/(237.2+'data ET'!AI16))*((100-0)/100)</f>
        <v>6735.1661191503445</v>
      </c>
      <c r="Z16" s="50">
        <f>EXP(6.414+(17.26*'Settings ET'!C28)/(237.2+'Settings ET'!C28))*(('Settings ET'!B28)/100)</f>
        <v>3599.7815922698114</v>
      </c>
      <c r="AA16" s="50">
        <f t="shared" si="1"/>
        <v>3135.384526880533</v>
      </c>
      <c r="AC16" s="48">
        <f>('data ET'!S16/6)*(1+(2*'data ET'!R16)/('data ET'!W16*'data ET'!$B$7*0.01))</f>
        <v>0.5299100908218514</v>
      </c>
      <c r="AE16" s="48">
        <f>'Settings ET'!C28</f>
        <v>37.8</v>
      </c>
      <c r="AF16" s="48">
        <f t="shared" si="2"/>
        <v>0.5299100908218514</v>
      </c>
      <c r="AG16" s="47">
        <f>(-'data ET'!N16*'data ET'!L16*'Settings ET'!D28/(24*60*60)*2.5*10^5)/'data ET'!V16</f>
        <v>-0.21383768869611416</v>
      </c>
      <c r="AH16" s="48">
        <f t="shared" si="3"/>
        <v>0.3160724021257372</v>
      </c>
      <c r="AI16" s="48">
        <f>'data ET'!AC16+'Settings ET'!C28</f>
        <v>38.32991009082185</v>
      </c>
      <c r="AJ16" s="48">
        <f>'Settings ET'!G28</f>
        <v>38.11607240212573</v>
      </c>
      <c r="AL16" s="28">
        <v>12</v>
      </c>
      <c r="AM16" s="28">
        <v>45.339539306264015</v>
      </c>
      <c r="AN16" s="47">
        <f>'Settings ET'!E28+'Settings ET'!F28</f>
        <v>35.34848258413381</v>
      </c>
    </row>
    <row r="17" spans="1:40" ht="12.75">
      <c r="A17" s="47" t="s">
        <v>21</v>
      </c>
      <c r="B17" s="47">
        <v>0.027</v>
      </c>
      <c r="C17" s="47" t="s">
        <v>22</v>
      </c>
      <c r="H17" s="47">
        <v>13</v>
      </c>
      <c r="I17" s="50">
        <f>'Settings ET'!F29/('data ET'!$B$9/1000)</f>
        <v>-182.19260507577454</v>
      </c>
      <c r="J17" s="50">
        <f>('Settings ET'!E29)/('data ET'!$B$9/1000)</f>
        <v>1106.2995007129978</v>
      </c>
      <c r="K17" s="50">
        <f t="shared" si="0"/>
        <v>924.1068956372233</v>
      </c>
      <c r="L17" s="50">
        <f>'data ET'!AA17</f>
        <v>3196.8715377213953</v>
      </c>
      <c r="M17" s="51">
        <f>'Settings ET'!D29/('Settings ET'!$B$6*L17)</f>
        <v>2.0247546687822527E-06</v>
      </c>
      <c r="N17" s="51">
        <f>M17/(4.68*'Settings ET'!$B$6^-0.33)</f>
        <v>1.6707692307692312E-06</v>
      </c>
      <c r="O17" s="48">
        <f>'data ET'!$B$15/'data ET'!$B$16</f>
        <v>2.0833333333333335</v>
      </c>
      <c r="P17" s="48">
        <f>(('Settings ET'!$B$7/100)*(0.01*'data ET'!$B$7*2))/'data ET'!$B$15</f>
        <v>194.49469192193212</v>
      </c>
      <c r="Q17" s="48">
        <f t="shared" si="4"/>
        <v>15.178334431638902</v>
      </c>
      <c r="R17" s="48">
        <f>IF('Settings ET'!E29/'data ET'!$B$20*'data ET'!$B$19&lt;'data ET'!$B$18,'data ET'!$B$18,('Settings ET'!E29/'data ET'!$B$20*'data ET'!$B$19))</f>
        <v>21.958281471486607</v>
      </c>
      <c r="S17" s="52">
        <f>(('data ET'!J17*('data ET'!$B$7*0.01)^2))/(R17*('data ET'!$B$23+'data ET'!$B$24*('data ET'!AF16)*'data ET'!$B$11))</f>
        <v>0.01946453315795117</v>
      </c>
      <c r="T17" s="53">
        <f>0.622*EXP(6.414+((17.26*'Settings ET'!C29*'Settings ET'!B29/100)/(237.2+'Settings ET'!C29*'Settings ET'!B29/100)))/('data ET'!$B$21-EXP(6.414+((17.26*'Settings ET'!C29)/(237.2+'Settings ET'!C29))))</f>
        <v>0.016095114800355217</v>
      </c>
      <c r="U17" s="54">
        <f>1.005*'Settings ET'!C29+2500*'data ET'!T17+1.86*'data ET'!T17*'Settings ET'!C29</f>
        <v>79.35840233227141</v>
      </c>
      <c r="V17" s="47">
        <f t="shared" si="5"/>
        <v>0.027</v>
      </c>
      <c r="W17" s="48">
        <f t="shared" si="6"/>
        <v>8.428302605168172</v>
      </c>
      <c r="X17" s="48">
        <f>W17*0.01*'data ET'!$B$7/R17</f>
        <v>0.009331673568954058</v>
      </c>
      <c r="Y17" s="50">
        <f>EXP(6.414+(17.26*'data ET'!AI17)/(237.2+'data ET'!AI17))*((100-0)/100)</f>
        <v>6796.653129991207</v>
      </c>
      <c r="Z17" s="50">
        <f>EXP(6.414+(17.26*'Settings ET'!C29)/(237.2+'Settings ET'!C29))*(('Settings ET'!B29)/100)</f>
        <v>3599.7815922698114</v>
      </c>
      <c r="AA17" s="50">
        <f t="shared" si="1"/>
        <v>3196.8715377213953</v>
      </c>
      <c r="AC17" s="48">
        <f>('data ET'!S17/6)*(1+(2*'data ET'!R17)/('data ET'!W17*'data ET'!$B$7*0.01))</f>
        <v>0.6985296313054264</v>
      </c>
      <c r="AE17" s="48">
        <f>'Settings ET'!C29</f>
        <v>37.8</v>
      </c>
      <c r="AF17" s="48">
        <f t="shared" si="2"/>
        <v>0.6985296313054264</v>
      </c>
      <c r="AG17" s="47">
        <f>(-'data ET'!N17*'data ET'!L17*'Settings ET'!D29/(24*60*60)*2.5*10^5)/'data ET'!V17</f>
        <v>-0.22230692946123543</v>
      </c>
      <c r="AH17" s="48">
        <f t="shared" si="3"/>
        <v>0.476222701844191</v>
      </c>
      <c r="AI17" s="48">
        <f>'data ET'!AC17+'Settings ET'!C29</f>
        <v>38.49852963130542</v>
      </c>
      <c r="AJ17" s="48">
        <f>'Settings ET'!G29</f>
        <v>38.27622270184419</v>
      </c>
      <c r="AL17" s="28">
        <v>13</v>
      </c>
      <c r="AM17" s="28">
        <v>66.72018535500042</v>
      </c>
      <c r="AN17" s="47">
        <f>'Settings ET'!E29+'Settings ET'!F29</f>
        <v>56.99891332290393</v>
      </c>
    </row>
    <row r="18" spans="1:40" ht="12.75">
      <c r="A18" s="47" t="s">
        <v>25</v>
      </c>
      <c r="B18" s="47">
        <v>0.5</v>
      </c>
      <c r="C18" s="47" t="s">
        <v>22</v>
      </c>
      <c r="H18" s="47">
        <v>14</v>
      </c>
      <c r="I18" s="50">
        <f>'Settings ET'!F30/('data ET'!$B$9/1000)</f>
        <v>-185.735344052106</v>
      </c>
      <c r="J18" s="50">
        <f>('Settings ET'!E30)/('data ET'!$B$9/1000)</f>
        <v>1527.582973284364</v>
      </c>
      <c r="K18" s="50">
        <f t="shared" si="0"/>
        <v>1341.847629232258</v>
      </c>
      <c r="L18" s="50">
        <f>'data ET'!AA18</f>
        <v>3259.034770934399</v>
      </c>
      <c r="M18" s="51">
        <f>'Settings ET'!D30/('Settings ET'!$B$6*L18)</f>
        <v>2.0247546687822527E-06</v>
      </c>
      <c r="N18" s="51">
        <f>M18/(4.68*'Settings ET'!$B$6^-0.33)</f>
        <v>1.6707692307692312E-06</v>
      </c>
      <c r="O18" s="48">
        <f>'data ET'!$B$15/'data ET'!$B$16</f>
        <v>2.0833333333333335</v>
      </c>
      <c r="P18" s="48">
        <f>(('Settings ET'!$B$7/100)*(0.01*'data ET'!$B$7*2))/'data ET'!$B$15</f>
        <v>194.49469192193212</v>
      </c>
      <c r="Q18" s="48">
        <f t="shared" si="4"/>
        <v>15.178334431638902</v>
      </c>
      <c r="R18" s="48">
        <f>IF('Settings ET'!E30/'data ET'!$B$20*'data ET'!$B$19&lt;'data ET'!$B$18,'data ET'!$B$18,('Settings ET'!E30/'data ET'!$B$20*'data ET'!$B$19))</f>
        <v>30.32008680905154</v>
      </c>
      <c r="S18" s="52">
        <f>(('data ET'!J18*('data ET'!$B$7*0.01)^2))/(R18*('data ET'!$B$23+'data ET'!$B$24*('data ET'!AF17)*'data ET'!$B$11))</f>
        <v>0.017532214418066412</v>
      </c>
      <c r="T18" s="53">
        <f>0.622*EXP(6.414+((17.26*'Settings ET'!C30*'Settings ET'!B30/100)/(237.2+'Settings ET'!C30*'Settings ET'!B30/100)))/('data ET'!$B$21-EXP(6.414+((17.26*'Settings ET'!C30)/(237.2+'Settings ET'!C30))))</f>
        <v>0.016095114800355217</v>
      </c>
      <c r="U18" s="54">
        <f>1.005*'Settings ET'!C30+2500*'data ET'!T18+1.86*'data ET'!T18*'Settings ET'!C30</f>
        <v>79.35840233227141</v>
      </c>
      <c r="V18" s="47">
        <f t="shared" si="5"/>
        <v>0.027</v>
      </c>
      <c r="W18" s="48">
        <f t="shared" si="6"/>
        <v>8.428302605168172</v>
      </c>
      <c r="X18" s="48">
        <f>W18*0.01*'data ET'!$B$7/R18</f>
        <v>0.006758144068570199</v>
      </c>
      <c r="Y18" s="50">
        <f>EXP(6.414+(17.26*'data ET'!AI18)/(237.2+'data ET'!AI18))*((100-0)/100)</f>
        <v>6858.816363204211</v>
      </c>
      <c r="Z18" s="50">
        <f>EXP(6.414+(17.26*'Settings ET'!C30)/(237.2+'Settings ET'!C30))*(('Settings ET'!B30)/100)</f>
        <v>3599.7815922698114</v>
      </c>
      <c r="AA18" s="50">
        <f t="shared" si="1"/>
        <v>3259.034770934399</v>
      </c>
      <c r="AC18" s="48">
        <f>('data ET'!S18/6)*(1+(2*'data ET'!R18)/('data ET'!W18*'data ET'!$B$7*0.01))</f>
        <v>0.8676670623876064</v>
      </c>
      <c r="AE18" s="48">
        <f>'Settings ET'!C30</f>
        <v>37.8</v>
      </c>
      <c r="AF18" s="48">
        <f t="shared" si="2"/>
        <v>0.8676670623876064</v>
      </c>
      <c r="AG18" s="47">
        <f>(-'data ET'!N18*'data ET'!L18*'Settings ET'!D30/(24*60*60)*2.5*10^5)/'data ET'!V18</f>
        <v>-0.23103651136261874</v>
      </c>
      <c r="AH18" s="48">
        <f t="shared" si="3"/>
        <v>0.6366305510249877</v>
      </c>
      <c r="AI18" s="48">
        <f>'data ET'!AC18+'Settings ET'!C30</f>
        <v>38.6676670623876</v>
      </c>
      <c r="AJ18" s="48">
        <f>'Settings ET'!G30</f>
        <v>38.43663055102498</v>
      </c>
      <c r="AL18" s="28">
        <v>14</v>
      </c>
      <c r="AM18" s="28">
        <v>92.12751073013115</v>
      </c>
      <c r="AN18" s="47">
        <f>'Settings ET'!E30+'Settings ET'!F30</f>
        <v>82.76516177104568</v>
      </c>
    </row>
    <row r="19" spans="1:40" ht="12.75">
      <c r="A19" s="47" t="s">
        <v>24</v>
      </c>
      <c r="B19" s="47">
        <v>50</v>
      </c>
      <c r="C19" s="47" t="s">
        <v>22</v>
      </c>
      <c r="H19" s="47">
        <v>15</v>
      </c>
      <c r="I19" s="50">
        <f>'Settings ET'!F31/('data ET'!$B$9/1000)</f>
        <v>-188.42535015950702</v>
      </c>
      <c r="J19" s="50">
        <f>('Settings ET'!E31)/('data ET'!$B$9/1000)</f>
        <v>1927.9530433352154</v>
      </c>
      <c r="K19" s="50">
        <f t="shared" si="0"/>
        <v>1739.5276931757085</v>
      </c>
      <c r="L19" s="50">
        <f>'data ET'!AA19</f>
        <v>3306.2353911652285</v>
      </c>
      <c r="M19" s="51">
        <f>'Settings ET'!D31/('Settings ET'!$B$6*L19)</f>
        <v>2.024754668782253E-06</v>
      </c>
      <c r="N19" s="51">
        <f>M19/(4.68*'Settings ET'!$B$6^-0.33)</f>
        <v>1.6707692307692316E-06</v>
      </c>
      <c r="O19" s="48">
        <f>'data ET'!$B$15/'data ET'!$B$16</f>
        <v>2.0833333333333335</v>
      </c>
      <c r="P19" s="48">
        <f>(('Settings ET'!$B$7/100)*(0.01*'data ET'!$B$7*2))/'data ET'!$B$15</f>
        <v>194.49469192193212</v>
      </c>
      <c r="Q19" s="48">
        <f t="shared" si="4"/>
        <v>15.178334431638902</v>
      </c>
      <c r="R19" s="48">
        <f>IF('Settings ET'!E31/'data ET'!$B$20*'data ET'!$B$19&lt;'data ET'!$B$18,'data ET'!$B$18,('Settings ET'!E31/'data ET'!$B$20*'data ET'!$B$19))</f>
        <v>38.26679444587992</v>
      </c>
      <c r="S19" s="52">
        <f>(('data ET'!J19*('data ET'!$B$7*0.01)^2))/(R19*('data ET'!$B$23+'data ET'!$B$24*('data ET'!AF18)*'data ET'!$B$11))</f>
        <v>0.015944482981574283</v>
      </c>
      <c r="T19" s="53">
        <f>0.622*EXP(6.414+((17.26*'Settings ET'!C31*'Settings ET'!B31/100)/(237.2+'Settings ET'!C31*'Settings ET'!B31/100)))/('data ET'!$B$21-EXP(6.414+((17.26*'Settings ET'!C31)/(237.2+'Settings ET'!C31))))</f>
        <v>0.016095114800355217</v>
      </c>
      <c r="U19" s="54">
        <f>1.005*'Settings ET'!C31+2500*'data ET'!T19+1.86*'data ET'!T19*'Settings ET'!C31</f>
        <v>79.35840233227141</v>
      </c>
      <c r="V19" s="47">
        <f t="shared" si="5"/>
        <v>0.027</v>
      </c>
      <c r="W19" s="48">
        <f t="shared" si="6"/>
        <v>8.428302605168172</v>
      </c>
      <c r="X19" s="48">
        <f>W19*0.01*'data ET'!$B$7/R19</f>
        <v>0.005354708116900736</v>
      </c>
      <c r="Y19" s="50">
        <f>EXP(6.414+(17.26*'data ET'!AI19)/(237.2+'data ET'!AI19))*((100-0)/100)</f>
        <v>6906.01698343504</v>
      </c>
      <c r="Z19" s="50">
        <f>EXP(6.414+(17.26*'Settings ET'!C31)/(237.2+'Settings ET'!C31))*(('Settings ET'!B31)/100)</f>
        <v>3599.7815922698114</v>
      </c>
      <c r="AA19" s="50">
        <f t="shared" si="1"/>
        <v>3306.2353911652285</v>
      </c>
      <c r="AC19" s="48">
        <f>('data ET'!S19/6)*(1+(2*'data ET'!R19)/('data ET'!W19*'data ET'!$B$7*0.01))</f>
        <v>0.9952096770899345</v>
      </c>
      <c r="AE19" s="48">
        <f>'Settings ET'!C31</f>
        <v>37.8</v>
      </c>
      <c r="AF19" s="48">
        <f t="shared" si="2"/>
        <v>0.9952096770899345</v>
      </c>
      <c r="AG19" s="47">
        <f>(-'data ET'!N19*'data ET'!L19*'Settings ET'!D31/(24*60*60)*2.5*10^5)/'data ET'!V19</f>
        <v>-0.23777717936845016</v>
      </c>
      <c r="AH19" s="48">
        <f t="shared" si="3"/>
        <v>0.7574324977214844</v>
      </c>
      <c r="AI19" s="48">
        <f>'data ET'!AC19+'Settings ET'!C31</f>
        <v>38.79520967708993</v>
      </c>
      <c r="AJ19" s="48">
        <f>'Settings ET'!G31</f>
        <v>38.55743249772148</v>
      </c>
      <c r="AL19" s="28">
        <v>15</v>
      </c>
      <c r="AM19" s="28">
        <v>116.27356274151796</v>
      </c>
      <c r="AN19" s="47">
        <f>'Settings ET'!E31+'Settings ET'!F31</f>
        <v>107.29406811507769</v>
      </c>
    </row>
    <row r="20" spans="1:40" ht="12.75">
      <c r="A20" s="47" t="s">
        <v>89</v>
      </c>
      <c r="B20" s="54">
        <f>'Settings ET'!E34</f>
        <v>155.3777177248243</v>
      </c>
      <c r="C20" s="47" t="s">
        <v>11</v>
      </c>
      <c r="H20" s="47">
        <v>16</v>
      </c>
      <c r="I20" s="50">
        <f>'Settings ET'!F32/('data ET'!$B$9/1000)</f>
        <v>-190.563228501791</v>
      </c>
      <c r="J20" s="50">
        <f>('Settings ET'!E32)/('data ET'!$B$9/1000)</f>
        <v>2268.27781873716</v>
      </c>
      <c r="K20" s="50">
        <f t="shared" si="0"/>
        <v>2077.714590235369</v>
      </c>
      <c r="L20" s="50">
        <f>'data ET'!AA20</f>
        <v>3343.748013703976</v>
      </c>
      <c r="M20" s="51">
        <f>'Settings ET'!D32/('Settings ET'!$B$6*L20)</f>
        <v>2.0247546687822527E-06</v>
      </c>
      <c r="N20" s="51">
        <f>M20/(4.68*'Settings ET'!$B$6^-0.33)</f>
        <v>1.6707692307692312E-06</v>
      </c>
      <c r="O20" s="48">
        <f>'data ET'!$B$15/'data ET'!$B$16</f>
        <v>2.0833333333333335</v>
      </c>
      <c r="P20" s="48">
        <f>(('Settings ET'!$B$7/100)*(0.01*'data ET'!$B$7*2))/'data ET'!$B$15</f>
        <v>194.49469192193212</v>
      </c>
      <c r="Q20" s="48">
        <f t="shared" si="4"/>
        <v>15.178334431638902</v>
      </c>
      <c r="R20" s="48">
        <f>R19</f>
        <v>38.26679444587992</v>
      </c>
      <c r="S20" s="52">
        <f>(('data ET'!J20*('data ET'!$B$7*0.01)^2))/(R20*('data ET'!$B$23+'data ET'!$B$24*('data ET'!AF19)*'data ET'!$B$11))</f>
        <v>0.01755986417245809</v>
      </c>
      <c r="T20" s="53">
        <f>0.622*EXP(6.414+((17.26*'Settings ET'!C32*'Settings ET'!B32/100)/(237.2+'Settings ET'!C32*'Settings ET'!B32/100)))/('data ET'!$B$21-EXP(6.414+((17.26*'Settings ET'!C32)/(237.2+'Settings ET'!C32))))</f>
        <v>0.016095114800355217</v>
      </c>
      <c r="U20" s="54">
        <f>1.005*'Settings ET'!C32+2500*'data ET'!T20+1.86*'data ET'!T20*'Settings ET'!C32</f>
        <v>79.35840233227141</v>
      </c>
      <c r="V20" s="47">
        <f t="shared" si="5"/>
        <v>0.027</v>
      </c>
      <c r="W20" s="48">
        <f t="shared" si="6"/>
        <v>8.428302605168172</v>
      </c>
      <c r="X20" s="48">
        <f>W20*0.01*'data ET'!$B$7/R20</f>
        <v>0.005354708116900736</v>
      </c>
      <c r="Y20" s="50">
        <f>EXP(6.414+(17.26*'data ET'!AI20)/(237.2+'data ET'!AI20))*((100-0)/100)</f>
        <v>6943.5296059737875</v>
      </c>
      <c r="Z20" s="50">
        <f>EXP(6.414+(17.26*'Settings ET'!C32)/(237.2+'Settings ET'!C32))*(('Settings ET'!B32)/100)</f>
        <v>3599.7815922698114</v>
      </c>
      <c r="AA20" s="50">
        <f t="shared" si="1"/>
        <v>3343.748013703976</v>
      </c>
      <c r="AC20" s="48">
        <f>('data ET'!S20/6)*(1+(2*'data ET'!R20)/('data ET'!W20*'data ET'!$B$7*0.01))</f>
        <v>1.0960372169489847</v>
      </c>
      <c r="AE20" s="48">
        <f>'Settings ET'!C32</f>
        <v>37.8</v>
      </c>
      <c r="AF20" s="48">
        <f t="shared" si="2"/>
        <v>1.0960372169489847</v>
      </c>
      <c r="AG20" s="47">
        <f>(-'data ET'!N20*'data ET'!L20*'Settings ET'!D32/(24*60*60)*2.5*10^5)/'data ET'!V20</f>
        <v>-0.2432034396120767</v>
      </c>
      <c r="AH20" s="48">
        <f t="shared" si="3"/>
        <v>0.852833777336908</v>
      </c>
      <c r="AI20" s="48">
        <f>'data ET'!AC20+'Settings ET'!C32</f>
        <v>38.89603721694898</v>
      </c>
      <c r="AJ20" s="48">
        <f>'Settings ET'!G32</f>
        <v>38.6528337773369</v>
      </c>
      <c r="AL20" s="28">
        <v>16</v>
      </c>
      <c r="AM20" s="28">
        <v>136.79832306282566</v>
      </c>
      <c r="AN20" s="47">
        <f>'Settings ET'!E32+'Settings ET'!F32</f>
        <v>128.15343592571756</v>
      </c>
    </row>
    <row r="21" spans="1:40" ht="12.75">
      <c r="A21" s="47" t="s">
        <v>29</v>
      </c>
      <c r="B21" s="47">
        <v>101325</v>
      </c>
      <c r="C21" s="47" t="s">
        <v>30</v>
      </c>
      <c r="H21" s="47">
        <v>17</v>
      </c>
      <c r="I21" s="50">
        <f>'Settings ET'!F33/('data ET'!$B$9/1000)</f>
        <v>-190.89341960254433</v>
      </c>
      <c r="J21" s="50">
        <f>('Settings ET'!E33)/('data ET'!$B$9/1000)</f>
        <v>2416.6699854831227</v>
      </c>
      <c r="K21" s="50">
        <f t="shared" si="0"/>
        <v>2225.7765658805783</v>
      </c>
      <c r="L21" s="50">
        <f>'data ET'!AA21</f>
        <v>3349.54176439747</v>
      </c>
      <c r="M21" s="51">
        <f>'Settings ET'!D33/('Settings ET'!$B$6*L21)</f>
        <v>2.0247546687822527E-06</v>
      </c>
      <c r="N21" s="51">
        <f>M21/(4.68*'Settings ET'!$B$6^-0.33)</f>
        <v>1.6707692307692312E-06</v>
      </c>
      <c r="O21" s="48">
        <f>'data ET'!$B$15/'data ET'!$B$16</f>
        <v>2.0833333333333335</v>
      </c>
      <c r="P21" s="48">
        <f>(('Settings ET'!$B$7/100)*(0.01*'data ET'!$B$7*2))/'data ET'!$B$15</f>
        <v>194.49469192193212</v>
      </c>
      <c r="Q21" s="48">
        <f t="shared" si="4"/>
        <v>15.178334431638902</v>
      </c>
      <c r="R21" s="48">
        <f>R20</f>
        <v>38.26679444587992</v>
      </c>
      <c r="S21" s="52">
        <f>(('data ET'!J21*('data ET'!$B$7*0.01)^2))/(R21*('data ET'!$B$23+'data ET'!$B$24*('data ET'!AF20)*'data ET'!$B$11))</f>
        <v>0.017808683169506335</v>
      </c>
      <c r="T21" s="53">
        <f>0.622*EXP(6.414+((17.26*'Settings ET'!C33*'Settings ET'!B33/100)/(237.2+'Settings ET'!C33*'Settings ET'!B33/100)))/('data ET'!$B$21-EXP(6.414+((17.26*'Settings ET'!C33)/(237.2+'Settings ET'!C33))))</f>
        <v>0.016095114800355217</v>
      </c>
      <c r="U21" s="54">
        <f>1.005*'Settings ET'!C33+2500*'data ET'!T21+1.86*'data ET'!T21*'Settings ET'!C33</f>
        <v>79.35840233227141</v>
      </c>
      <c r="V21" s="47">
        <f t="shared" si="5"/>
        <v>0.027</v>
      </c>
      <c r="W21" s="48">
        <f t="shared" si="6"/>
        <v>8.428302605168172</v>
      </c>
      <c r="X21" s="48">
        <f>W21*0.01*'data ET'!$B$7/R21</f>
        <v>0.005354708116900736</v>
      </c>
      <c r="Y21" s="50">
        <f>EXP(6.414+(17.26*'data ET'!AI21)/(237.2+'data ET'!AI21))*((100-0)/100)</f>
        <v>6949.323356667282</v>
      </c>
      <c r="Z21" s="50">
        <f>EXP(6.414+(17.26*'Settings ET'!C33)/(237.2+'Settings ET'!C33))*(('Settings ET'!B33)/100)</f>
        <v>3599.7815922698114</v>
      </c>
      <c r="AA21" s="50">
        <f t="shared" si="1"/>
        <v>3349.54176439747</v>
      </c>
      <c r="AC21" s="48">
        <f>('data ET'!S21/6)*(1+(2*'data ET'!R21)/('data ET'!W21*'data ET'!$B$7*0.01))</f>
        <v>1.1115677972752571</v>
      </c>
      <c r="AE21" s="48">
        <f>'Settings ET'!C33</f>
        <v>37.8</v>
      </c>
      <c r="AF21" s="48">
        <f t="shared" si="2"/>
        <v>1.1115677972752571</v>
      </c>
      <c r="AG21" s="47">
        <f>(-'data ET'!N21*'data ET'!L21*'Settings ET'!D33/(24*60*60)*2.5*10^5)/'data ET'!V21</f>
        <v>-0.2440469725807464</v>
      </c>
      <c r="AH21" s="48">
        <f t="shared" si="3"/>
        <v>0.8675208246945108</v>
      </c>
      <c r="AI21" s="48">
        <f>'data ET'!AC21+'Settings ET'!C33</f>
        <v>38.911567797275254</v>
      </c>
      <c r="AJ21" s="48">
        <f>'Settings ET'!G33</f>
        <v>38.667520824694506</v>
      </c>
      <c r="AL21" s="28">
        <v>17</v>
      </c>
      <c r="AM21" s="28">
        <v>145.7477557111635</v>
      </c>
      <c r="AN21" s="47">
        <f>'Settings ET'!E33+'Settings ET'!F33</f>
        <v>137.2858985835141</v>
      </c>
    </row>
    <row r="22" spans="1:40" ht="12.75">
      <c r="A22" s="47" t="s">
        <v>46</v>
      </c>
      <c r="B22" s="48">
        <v>0</v>
      </c>
      <c r="C22" s="48">
        <f>'data ET'!AF5</f>
        <v>0.004875367101239117</v>
      </c>
      <c r="H22" s="47">
        <v>18</v>
      </c>
      <c r="I22" s="50">
        <f>'Settings ET'!F34/('data ET'!$B$9/1000)</f>
        <v>-191.71487487324015</v>
      </c>
      <c r="J22" s="50">
        <f>('Settings ET'!E34)/('data ET'!$B$9/1000)</f>
        <v>2519.093996835673</v>
      </c>
      <c r="K22" s="50">
        <f t="shared" si="0"/>
        <v>2327.3791219624327</v>
      </c>
      <c r="L22" s="50">
        <f>'data ET'!AA22</f>
        <v>3363.955560024941</v>
      </c>
      <c r="M22" s="51">
        <f>'Settings ET'!D34/('Settings ET'!$B$6*L22)</f>
        <v>2.024754668782253E-06</v>
      </c>
      <c r="N22" s="51">
        <f>M22/(4.68*'Settings ET'!$B$6^-0.33)</f>
        <v>1.6707692307692316E-06</v>
      </c>
      <c r="O22" s="48">
        <f>'data ET'!$B$15/'data ET'!$B$16</f>
        <v>2.0833333333333335</v>
      </c>
      <c r="P22" s="48">
        <f>(('Settings ET'!$B$7/100)*(0.01*'data ET'!$B$7*2))/'data ET'!$B$15</f>
        <v>194.49469192193212</v>
      </c>
      <c r="Q22" s="48">
        <f t="shared" si="4"/>
        <v>15.178334431638902</v>
      </c>
      <c r="R22" s="48">
        <f>R21</f>
        <v>38.26679444587992</v>
      </c>
      <c r="S22" s="52">
        <f>(('data ET'!J22*('data ET'!$B$7*0.01)^2))/(R22*('data ET'!$B$23+'data ET'!$B$24*('data ET'!AF21)*'data ET'!$B$11))</f>
        <v>0.01842692175623821</v>
      </c>
      <c r="T22" s="53">
        <f>0.622*EXP(6.414+((17.26*'Settings ET'!C34*'Settings ET'!B34/100)/(237.2+'Settings ET'!C34*'Settings ET'!B34/100)))/('data ET'!$B$21-EXP(6.414+((17.26*'Settings ET'!C34)/(237.2+'Settings ET'!C34))))</f>
        <v>0.016095114800355217</v>
      </c>
      <c r="U22" s="54">
        <f>1.005*'Settings ET'!C34+2500*'data ET'!T22+1.86*'data ET'!T22*'Settings ET'!C34</f>
        <v>79.35840233227141</v>
      </c>
      <c r="V22" s="47">
        <f t="shared" si="5"/>
        <v>0.027</v>
      </c>
      <c r="W22" s="48">
        <f t="shared" si="6"/>
        <v>8.428302605168172</v>
      </c>
      <c r="X22" s="48">
        <f>W22*0.01*'data ET'!$B$7/R22</f>
        <v>0.005354708116900736</v>
      </c>
      <c r="Y22" s="50">
        <f>EXP(6.414+(17.26*'data ET'!AI22)/(237.2+'data ET'!AI22))*((100-0)/100)</f>
        <v>6963.737152294752</v>
      </c>
      <c r="Z22" s="50">
        <f>EXP(6.414+(17.26*'Settings ET'!C34)/(237.2+'Settings ET'!C34))*(('Settings ET'!B34)/100)</f>
        <v>3599.7815922698114</v>
      </c>
      <c r="AA22" s="50">
        <f t="shared" si="1"/>
        <v>3363.955560024941</v>
      </c>
      <c r="AC22" s="48">
        <f>('data ET'!S22/6)*(1+(2*'data ET'!R22)/('data ET'!W22*'data ET'!$B$7*0.01))</f>
        <v>1.150156506923415</v>
      </c>
      <c r="AE22" s="48">
        <f>'Settings ET'!C34</f>
        <v>37.8</v>
      </c>
      <c r="AF22" s="48">
        <f t="shared" si="2"/>
        <v>1.150156506923415</v>
      </c>
      <c r="AG22" s="47">
        <f>(-'data ET'!N22*'data ET'!L22*'Settings ET'!D34/(24*60*60)*2.5*10^5)/'data ET'!V22</f>
        <v>-0.24615186454523957</v>
      </c>
      <c r="AH22" s="48">
        <f t="shared" si="3"/>
        <v>0.9040046423781753</v>
      </c>
      <c r="AI22" s="48">
        <f>'data ET'!AC22+'Settings ET'!C34</f>
        <v>38.95015650692341</v>
      </c>
      <c r="AJ22" s="48">
        <f>'Settings ET'!G34</f>
        <v>38.70400464237817</v>
      </c>
      <c r="AL22" s="28">
        <v>18</v>
      </c>
      <c r="AM22" s="28">
        <v>151.92487955316153</v>
      </c>
      <c r="AN22" s="47">
        <f>'Settings ET'!E34+'Settings ET'!F34</f>
        <v>143.55274424264283</v>
      </c>
    </row>
    <row r="23" spans="1:39" ht="12.75">
      <c r="A23" s="47" t="s">
        <v>32</v>
      </c>
      <c r="B23" s="47">
        <v>1</v>
      </c>
      <c r="H23" s="47">
        <v>19</v>
      </c>
      <c r="I23" s="50"/>
      <c r="J23" s="50"/>
      <c r="K23" s="50"/>
      <c r="L23" s="51"/>
      <c r="M23" s="51"/>
      <c r="N23" s="48"/>
      <c r="AL23" s="28"/>
      <c r="AM23" s="28"/>
    </row>
    <row r="24" spans="1:39" ht="12.75">
      <c r="A24" s="47" t="s">
        <v>42</v>
      </c>
      <c r="B24" s="47">
        <v>1</v>
      </c>
      <c r="C24" s="47" t="s">
        <v>43</v>
      </c>
      <c r="D24" s="47" t="s">
        <v>52</v>
      </c>
      <c r="H24" s="47">
        <v>20</v>
      </c>
      <c r="J24" s="50"/>
      <c r="K24" s="50"/>
      <c r="L24" s="51"/>
      <c r="M24" s="51"/>
      <c r="N24" s="48"/>
      <c r="AL24" s="28"/>
      <c r="AM24" s="28"/>
    </row>
    <row r="25" spans="8:39" ht="12.75">
      <c r="H25" s="47">
        <v>21</v>
      </c>
      <c r="J25" s="50"/>
      <c r="K25" s="50"/>
      <c r="L25" s="51"/>
      <c r="M25" s="51"/>
      <c r="N25" s="48"/>
      <c r="AM25" s="28"/>
    </row>
  </sheetData>
  <sheetProtection password="998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06"/>
  <sheetViews>
    <sheetView zoomScalePageLayoutView="0" workbookViewId="0" topLeftCell="A1">
      <selection activeCell="J43" sqref="J43"/>
    </sheetView>
  </sheetViews>
  <sheetFormatPr defaultColWidth="9.140625" defaultRowHeight="12.75"/>
  <cols>
    <col min="1" max="1" width="24.28125" style="28" bestFit="1" customWidth="1"/>
    <col min="2" max="2" width="8.00390625" style="28" customWidth="1"/>
    <col min="3" max="3" width="12.00390625" style="28" bestFit="1" customWidth="1"/>
    <col min="4" max="4" width="10.00390625" style="28" customWidth="1"/>
    <col min="5" max="5" width="10.8515625" style="28" customWidth="1"/>
    <col min="6" max="6" width="9.421875" style="28" customWidth="1"/>
    <col min="7" max="7" width="10.57421875" style="28" bestFit="1" customWidth="1"/>
    <col min="8" max="8" width="11.421875" style="28" bestFit="1" customWidth="1"/>
    <col min="9" max="9" width="9.28125" style="28" customWidth="1"/>
    <col min="10" max="10" width="7.57421875" style="28" bestFit="1" customWidth="1"/>
    <col min="11" max="11" width="9.140625" style="28" customWidth="1"/>
    <col min="12" max="12" width="12.00390625" style="28" bestFit="1" customWidth="1"/>
    <col min="13" max="13" width="9.140625" style="28" customWidth="1"/>
    <col min="14" max="14" width="12.57421875" style="28" bestFit="1" customWidth="1"/>
    <col min="15" max="15" width="13.28125" style="28" bestFit="1" customWidth="1"/>
    <col min="16" max="16" width="11.7109375" style="28" customWidth="1"/>
    <col min="17" max="17" width="11.140625" style="28" customWidth="1"/>
    <col min="18" max="18" width="8.57421875" style="28" customWidth="1"/>
    <col min="19" max="20" width="9.140625" style="28" customWidth="1"/>
    <col min="21" max="21" width="9.7109375" style="28" bestFit="1" customWidth="1"/>
    <col min="22" max="23" width="9.140625" style="28" customWidth="1"/>
    <col min="24" max="24" width="13.140625" style="28" bestFit="1" customWidth="1"/>
    <col min="25" max="25" width="9.140625" style="28" customWidth="1"/>
    <col min="26" max="26" width="13.140625" style="28" bestFit="1" customWidth="1"/>
    <col min="27" max="16384" width="9.140625" style="28" customWidth="1"/>
  </cols>
  <sheetData>
    <row r="1" ht="12.75">
      <c r="A1" s="28" t="s">
        <v>83</v>
      </c>
    </row>
    <row r="2" ht="12.75">
      <c r="A2" s="28" t="s">
        <v>82</v>
      </c>
    </row>
    <row r="4" spans="1:3" ht="12.75">
      <c r="A4" s="40" t="s">
        <v>91</v>
      </c>
      <c r="B4" s="40" t="s">
        <v>68</v>
      </c>
      <c r="C4" s="43" t="s">
        <v>67</v>
      </c>
    </row>
    <row r="5" spans="1:55" ht="12.75">
      <c r="A5" s="28" t="s">
        <v>2</v>
      </c>
      <c r="B5" s="33">
        <v>1.2</v>
      </c>
      <c r="C5" s="44" t="s">
        <v>51</v>
      </c>
      <c r="D5" s="28" t="s">
        <v>76</v>
      </c>
      <c r="AR5" s="30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5" ht="12.75">
      <c r="A6" s="28" t="s">
        <v>74</v>
      </c>
      <c r="B6" s="35">
        <f>'Settings WL'!B6</f>
        <v>60</v>
      </c>
      <c r="C6" s="44" t="s">
        <v>0</v>
      </c>
      <c r="O6" s="31"/>
      <c r="P6" s="31"/>
      <c r="Q6" s="31"/>
      <c r="R6" s="31"/>
      <c r="S6" s="31"/>
      <c r="T6" s="31"/>
      <c r="Z6" s="31"/>
      <c r="AF6" s="31"/>
      <c r="AG6" s="31"/>
      <c r="AH6" s="31"/>
      <c r="AI6" s="31"/>
      <c r="AJ6" s="31"/>
      <c r="AR6" s="30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</row>
    <row r="7" spans="1:55" ht="12.75">
      <c r="A7" s="28" t="s">
        <v>75</v>
      </c>
      <c r="B7" s="45">
        <f>'Settings WL'!B7</f>
        <v>10</v>
      </c>
      <c r="C7" s="44" t="s">
        <v>1</v>
      </c>
      <c r="O7" s="31"/>
      <c r="P7" s="31"/>
      <c r="Q7" s="31"/>
      <c r="R7" s="31"/>
      <c r="S7" s="31"/>
      <c r="T7" s="31"/>
      <c r="Z7" s="31"/>
      <c r="AF7" s="31"/>
      <c r="AG7" s="31"/>
      <c r="AH7" s="31"/>
      <c r="AI7" s="31"/>
      <c r="AJ7" s="31"/>
      <c r="AR7" s="30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</row>
    <row r="8" spans="2:55" ht="12.75">
      <c r="B8" s="33"/>
      <c r="C8" s="44"/>
      <c r="O8" s="31"/>
      <c r="P8" s="31"/>
      <c r="Q8" s="31"/>
      <c r="R8" s="31"/>
      <c r="S8" s="31"/>
      <c r="T8" s="31"/>
      <c r="Z8" s="31"/>
      <c r="AF8" s="31"/>
      <c r="AG8" s="31"/>
      <c r="AH8" s="31"/>
      <c r="AI8" s="31"/>
      <c r="AJ8" s="31"/>
      <c r="AR8" s="30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</row>
    <row r="9" spans="1:55" ht="12.75">
      <c r="A9" s="28" t="s">
        <v>34</v>
      </c>
      <c r="B9" s="46">
        <v>37.8</v>
      </c>
      <c r="C9" s="44" t="s">
        <v>92</v>
      </c>
      <c r="O9" s="31"/>
      <c r="P9" s="31"/>
      <c r="Q9" s="31"/>
      <c r="R9" s="31"/>
      <c r="S9" s="31"/>
      <c r="T9" s="31"/>
      <c r="Z9" s="31"/>
      <c r="AF9" s="31"/>
      <c r="AG9" s="31"/>
      <c r="AH9" s="31"/>
      <c r="AI9" s="31"/>
      <c r="AJ9" s="31"/>
      <c r="AR9" s="30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</row>
    <row r="10" spans="1:55" ht="12.75">
      <c r="A10" s="28" t="s">
        <v>40</v>
      </c>
      <c r="B10" s="33">
        <v>55</v>
      </c>
      <c r="C10" s="44" t="s">
        <v>86</v>
      </c>
      <c r="O10" s="31"/>
      <c r="P10" s="31"/>
      <c r="Q10" s="31"/>
      <c r="R10" s="31"/>
      <c r="S10" s="31"/>
      <c r="T10" s="31"/>
      <c r="Z10" s="31"/>
      <c r="AF10" s="31"/>
      <c r="AG10" s="31"/>
      <c r="AH10" s="31"/>
      <c r="AI10" s="31"/>
      <c r="AJ10" s="31"/>
      <c r="AR10" s="30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</row>
    <row r="11" spans="2:55" ht="12.75">
      <c r="B11" s="33"/>
      <c r="C11" s="44"/>
      <c r="O11" s="31"/>
      <c r="P11" s="31"/>
      <c r="Q11" s="31"/>
      <c r="R11" s="31"/>
      <c r="S11" s="31"/>
      <c r="T11" s="31"/>
      <c r="Z11" s="31"/>
      <c r="AF11" s="31"/>
      <c r="AG11" s="31"/>
      <c r="AH11" s="31"/>
      <c r="AI11" s="31"/>
      <c r="AJ11" s="31"/>
      <c r="AR11" s="30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</row>
    <row r="12" spans="1:55" ht="12.75">
      <c r="A12" s="28" t="s">
        <v>69</v>
      </c>
      <c r="B12" s="46">
        <f>SUM(D17:D32)/B6*100</f>
        <v>9.949938887114048</v>
      </c>
      <c r="C12" s="44" t="s">
        <v>72</v>
      </c>
      <c r="O12" s="31"/>
      <c r="P12" s="31"/>
      <c r="Q12" s="31"/>
      <c r="R12" s="31"/>
      <c r="S12" s="31"/>
      <c r="T12" s="31"/>
      <c r="Z12" s="31"/>
      <c r="AF12" s="31"/>
      <c r="AG12" s="31"/>
      <c r="AH12" s="31"/>
      <c r="AI12" s="31"/>
      <c r="AJ12" s="31"/>
      <c r="AR12" s="30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</row>
    <row r="13" spans="1:54" ht="12.75">
      <c r="A13" s="28" t="s">
        <v>70</v>
      </c>
      <c r="B13" s="46">
        <f>B12/18</f>
        <v>0.552774382617447</v>
      </c>
      <c r="C13" s="44" t="s">
        <v>73</v>
      </c>
      <c r="O13" s="31"/>
      <c r="P13" s="31"/>
      <c r="Q13" s="31"/>
      <c r="R13" s="31"/>
      <c r="S13" s="31"/>
      <c r="T13" s="31"/>
      <c r="Z13" s="31"/>
      <c r="AF13" s="31"/>
      <c r="AG13" s="31"/>
      <c r="AH13" s="31"/>
      <c r="AI13" s="31"/>
      <c r="AJ13" s="31"/>
      <c r="AR13" s="30"/>
      <c r="AS13" s="29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15:54" ht="12.75">
      <c r="O14" s="31"/>
      <c r="P14" s="31"/>
      <c r="Q14" s="31"/>
      <c r="R14" s="31"/>
      <c r="S14" s="31"/>
      <c r="T14" s="31"/>
      <c r="Z14" s="31"/>
      <c r="AF14" s="31"/>
      <c r="AG14" s="31"/>
      <c r="AH14" s="31"/>
      <c r="AI14" s="31"/>
      <c r="AJ14" s="31"/>
      <c r="AR14" s="30"/>
      <c r="AS14" s="29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54" ht="14.25">
      <c r="A15" s="32" t="s">
        <v>81</v>
      </c>
      <c r="B15" s="33" t="s">
        <v>71</v>
      </c>
      <c r="C15" s="33" t="s">
        <v>93</v>
      </c>
      <c r="D15" s="33" t="s">
        <v>94</v>
      </c>
      <c r="E15" s="33" t="s">
        <v>78</v>
      </c>
      <c r="F15" s="33" t="s">
        <v>79</v>
      </c>
      <c r="G15" s="33" t="s">
        <v>95</v>
      </c>
      <c r="O15" s="31"/>
      <c r="P15" s="31"/>
      <c r="Q15" s="31"/>
      <c r="R15" s="31"/>
      <c r="S15" s="31"/>
      <c r="T15" s="31"/>
      <c r="Z15" s="31"/>
      <c r="AF15" s="31"/>
      <c r="AG15" s="31"/>
      <c r="AH15" s="31"/>
      <c r="AI15" s="31"/>
      <c r="AJ15" s="31"/>
      <c r="AR15" s="30"/>
      <c r="AS15" s="29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54" ht="12.75">
      <c r="A16" s="28">
        <v>0</v>
      </c>
      <c r="B16" s="34"/>
      <c r="C16" s="34"/>
      <c r="D16" s="34"/>
      <c r="E16" s="34"/>
      <c r="F16" s="34"/>
      <c r="G16" s="34"/>
      <c r="O16" s="31"/>
      <c r="P16" s="31"/>
      <c r="Q16" s="31"/>
      <c r="R16" s="31"/>
      <c r="S16" s="31"/>
      <c r="T16" s="31"/>
      <c r="Z16" s="31"/>
      <c r="AF16" s="31"/>
      <c r="AG16" s="31"/>
      <c r="AH16" s="31"/>
      <c r="AI16" s="31"/>
      <c r="AJ16" s="31"/>
      <c r="AR16" s="30"/>
      <c r="AS16" s="29"/>
      <c r="AT16" s="29"/>
      <c r="AU16" s="29"/>
      <c r="AV16" s="29"/>
      <c r="AW16" s="29"/>
      <c r="AX16" s="29"/>
      <c r="AY16" s="29"/>
      <c r="AZ16" s="29"/>
      <c r="BA16" s="29"/>
      <c r="BB16" s="29"/>
    </row>
    <row r="17" spans="1:55" ht="12.75">
      <c r="A17" s="28">
        <v>1</v>
      </c>
      <c r="B17" s="35">
        <f>B10</f>
        <v>55</v>
      </c>
      <c r="C17" s="35">
        <v>37.8</v>
      </c>
      <c r="D17" s="36">
        <f>'data ET'!$C$14*$B$6*'data ET'!L5*24*60*60</f>
        <v>0.3580175477986165</v>
      </c>
      <c r="E17" s="37">
        <f>'data ET'!AM5*$B$5/70.4*$B$6</f>
        <v>0.25956228146719146</v>
      </c>
      <c r="F17" s="37">
        <f aca="true" t="shared" si="0" ref="F17:F34">-(D17)/(24*60*60)*2.5*10^6</f>
        <v>-10.359304045098858</v>
      </c>
      <c r="G17" s="36">
        <f>'data ET'!AE5+'data ET'!AH5</f>
        <v>37.615961456424614</v>
      </c>
      <c r="O17" s="31"/>
      <c r="P17" s="31"/>
      <c r="Q17" s="31"/>
      <c r="R17" s="31"/>
      <c r="S17" s="31"/>
      <c r="T17" s="31"/>
      <c r="Z17" s="31"/>
      <c r="AF17" s="31"/>
      <c r="AG17" s="31"/>
      <c r="AH17" s="31"/>
      <c r="AI17" s="31"/>
      <c r="AJ17" s="31"/>
      <c r="AR17" s="30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</row>
    <row r="18" spans="1:55" ht="12.75">
      <c r="A18" s="28">
        <v>2</v>
      </c>
      <c r="B18" s="35">
        <f aca="true" t="shared" si="1" ref="B18:B34">B17</f>
        <v>55</v>
      </c>
      <c r="C18" s="35">
        <v>37.8</v>
      </c>
      <c r="D18" s="36">
        <f>'data ET'!$C$14*$B$6*'data ET'!L6*24*60*60</f>
        <v>0.3587265692051314</v>
      </c>
      <c r="E18" s="37">
        <f>'data ET'!AM6*$B$5/70.4*$B$6</f>
        <v>1.1414950202791998</v>
      </c>
      <c r="F18" s="37">
        <f>-(D18)/(24*60*60)*2.5*10^6</f>
        <v>-10.379819710796626</v>
      </c>
      <c r="G18" s="36">
        <f>'data ET'!AE6+'data ET'!AH6</f>
        <v>37.63167380974347</v>
      </c>
      <c r="O18" s="31"/>
      <c r="P18" s="31"/>
      <c r="Q18" s="31"/>
      <c r="R18" s="31"/>
      <c r="S18" s="31"/>
      <c r="T18" s="31"/>
      <c r="Z18" s="31"/>
      <c r="AF18" s="31"/>
      <c r="AG18" s="31"/>
      <c r="AH18" s="31"/>
      <c r="AI18" s="31"/>
      <c r="AJ18" s="31"/>
      <c r="AR18" s="30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</row>
    <row r="19" spans="1:55" ht="12.75">
      <c r="A19" s="28">
        <v>3</v>
      </c>
      <c r="B19" s="35">
        <f t="shared" si="1"/>
        <v>55</v>
      </c>
      <c r="C19" s="35">
        <v>37.8</v>
      </c>
      <c r="D19" s="36">
        <f>'data ET'!$C$14*$B$6*'data ET'!L7*24*60*60</f>
        <v>0.3586051794978263</v>
      </c>
      <c r="E19" s="37">
        <f>'data ET'!AM7*$B$5/70.4*$B$6</f>
        <v>1.0069966808401607</v>
      </c>
      <c r="F19" s="37">
        <f t="shared" si="0"/>
        <v>-10.376307277136176</v>
      </c>
      <c r="G19" s="36">
        <f>'data ET'!AE7+'data ET'!AH7</f>
        <v>37.62898474451596</v>
      </c>
      <c r="O19" s="31"/>
      <c r="P19" s="31"/>
      <c r="Q19" s="31"/>
      <c r="R19" s="31"/>
      <c r="S19" s="31"/>
      <c r="T19" s="31"/>
      <c r="Z19" s="31"/>
      <c r="AF19" s="31"/>
      <c r="AG19" s="31"/>
      <c r="AH19" s="31"/>
      <c r="AI19" s="31"/>
      <c r="AJ19" s="31"/>
      <c r="AY19" s="29"/>
      <c r="AZ19" s="29"/>
      <c r="BA19" s="29"/>
      <c r="BB19" s="29"/>
      <c r="BC19" s="29"/>
    </row>
    <row r="20" spans="1:49" ht="12.75">
      <c r="A20" s="28">
        <v>4</v>
      </c>
      <c r="B20" s="35">
        <f t="shared" si="1"/>
        <v>55</v>
      </c>
      <c r="C20" s="35">
        <v>37.8</v>
      </c>
      <c r="D20" s="36">
        <f>'data ET'!$C$14*$B$6*'data ET'!L8*24*60*60</f>
        <v>0.359700969186325</v>
      </c>
      <c r="E20" s="37">
        <f>'data ET'!AM8*$B$5/70.4*$B$6</f>
        <v>2.552426901292757</v>
      </c>
      <c r="F20" s="37">
        <f t="shared" si="0"/>
        <v>-10.408014154696904</v>
      </c>
      <c r="G20" s="36">
        <f>'data ET'!AE8+'data ET'!AH8</f>
        <v>37.65324400463162</v>
      </c>
      <c r="O20" s="31"/>
      <c r="P20" s="31"/>
      <c r="Q20" s="31"/>
      <c r="R20" s="31"/>
      <c r="S20" s="31"/>
      <c r="T20" s="31"/>
      <c r="Z20" s="31"/>
      <c r="AF20" s="31"/>
      <c r="AG20" s="31"/>
      <c r="AH20" s="31"/>
      <c r="AI20" s="31"/>
      <c r="AJ20" s="31"/>
      <c r="AS20" s="29"/>
      <c r="AT20" s="29"/>
      <c r="AU20" s="29"/>
      <c r="AV20" s="29"/>
      <c r="AW20" s="29"/>
    </row>
    <row r="21" spans="1:44" ht="12.75">
      <c r="A21" s="28">
        <v>5</v>
      </c>
      <c r="B21" s="35">
        <f t="shared" si="1"/>
        <v>55</v>
      </c>
      <c r="C21" s="35">
        <v>37.8</v>
      </c>
      <c r="D21" s="36">
        <f>'data ET'!$C$14*$B$6*'data ET'!L9*24*60*60</f>
        <v>0.36067383995527463</v>
      </c>
      <c r="E21" s="37">
        <f>'data ET'!AM9*$B$5/70.4*$B$6</f>
        <v>4.133693465413095</v>
      </c>
      <c r="F21" s="37">
        <f t="shared" si="0"/>
        <v>-10.436164350557714</v>
      </c>
      <c r="G21" s="36">
        <f>'data ET'!AE9+'data ET'!AH9</f>
        <v>37.674753704875684</v>
      </c>
      <c r="O21" s="31"/>
      <c r="P21" s="31"/>
      <c r="Q21" s="31"/>
      <c r="R21" s="31"/>
      <c r="S21" s="31"/>
      <c r="T21" s="31"/>
      <c r="Z21" s="31"/>
      <c r="AF21" s="31"/>
      <c r="AG21" s="31"/>
      <c r="AH21" s="31"/>
      <c r="AI21" s="31"/>
      <c r="AJ21" s="31"/>
      <c r="AR21" s="38"/>
    </row>
    <row r="22" spans="1:44" ht="12.75">
      <c r="A22" s="28">
        <v>6</v>
      </c>
      <c r="B22" s="35">
        <f t="shared" si="1"/>
        <v>55</v>
      </c>
      <c r="C22" s="35">
        <v>37.8</v>
      </c>
      <c r="D22" s="36">
        <f>'data ET'!$C$14*$B$6*'data ET'!L10*24*60*60</f>
        <v>0.3619712429503135</v>
      </c>
      <c r="E22" s="37">
        <f>'data ET'!AM10*$B$5/70.4*$B$6</f>
        <v>6.283974253778496</v>
      </c>
      <c r="F22" s="37">
        <f t="shared" si="0"/>
        <v>-10.473704946478978</v>
      </c>
      <c r="G22" s="36">
        <f>'data ET'!AE10+'data ET'!AH10</f>
        <v>37.70339732556977</v>
      </c>
      <c r="O22" s="31"/>
      <c r="P22" s="31"/>
      <c r="Q22" s="31"/>
      <c r="R22" s="31"/>
      <c r="S22" s="31"/>
      <c r="T22" s="31"/>
      <c r="W22" s="31"/>
      <c r="X22" s="31"/>
      <c r="Y22" s="31"/>
      <c r="Z22" s="31"/>
      <c r="AA22" s="31"/>
      <c r="AB22" s="31"/>
      <c r="AE22" s="31"/>
      <c r="AF22" s="31"/>
      <c r="AG22" s="31"/>
      <c r="AH22" s="31"/>
      <c r="AI22" s="31"/>
      <c r="AJ22" s="31"/>
      <c r="AR22" s="38"/>
    </row>
    <row r="23" spans="1:44" ht="12.75">
      <c r="A23" s="28">
        <v>7</v>
      </c>
      <c r="B23" s="35">
        <f t="shared" si="1"/>
        <v>55</v>
      </c>
      <c r="C23" s="35">
        <v>37.8</v>
      </c>
      <c r="D23" s="36">
        <f>'data ET'!$C$14*$B$6*'data ET'!L11*24*60*60</f>
        <v>0.36294542544638186</v>
      </c>
      <c r="E23" s="37">
        <f>'data ET'!AM11*$B$5/70.4*$B$6</f>
        <v>8.053726979868891</v>
      </c>
      <c r="F23" s="37">
        <f t="shared" si="0"/>
        <v>-10.501893097406882</v>
      </c>
      <c r="G23" s="36">
        <f>'data ET'!AE11+'data ET'!AH11</f>
        <v>37.72487401383384</v>
      </c>
      <c r="O23" s="31"/>
      <c r="P23" s="31"/>
      <c r="Q23" s="31"/>
      <c r="R23" s="31"/>
      <c r="S23" s="31"/>
      <c r="T23" s="31"/>
      <c r="W23" s="31"/>
      <c r="X23" s="31"/>
      <c r="Y23" s="31"/>
      <c r="Z23" s="31"/>
      <c r="AA23" s="31"/>
      <c r="AB23" s="31"/>
      <c r="AE23" s="31"/>
      <c r="AF23" s="31"/>
      <c r="AG23" s="31"/>
      <c r="AH23" s="31"/>
      <c r="AI23" s="31"/>
      <c r="AJ23" s="31"/>
      <c r="AR23" s="38"/>
    </row>
    <row r="24" spans="1:44" ht="12.75">
      <c r="A24" s="28">
        <v>8</v>
      </c>
      <c r="B24" s="35">
        <f t="shared" si="1"/>
        <v>55</v>
      </c>
      <c r="C24" s="35">
        <v>37.8</v>
      </c>
      <c r="D24" s="36">
        <f>'data ET'!$C$14*$B$6*'data ET'!L12*24*60*60</f>
        <v>0.3648685257824875</v>
      </c>
      <c r="E24" s="37">
        <f>'data ET'!AM12*$B$5/70.4*$B$6</f>
        <v>11.411535639357679</v>
      </c>
      <c r="F24" s="37">
        <f t="shared" si="0"/>
        <v>-10.557538361761793</v>
      </c>
      <c r="G24" s="36">
        <f>'data ET'!AE12+'data ET'!AH12</f>
        <v>37.76719263465367</v>
      </c>
      <c r="O24" s="31"/>
      <c r="P24" s="31"/>
      <c r="Q24" s="31"/>
      <c r="R24" s="31"/>
      <c r="S24" s="31"/>
      <c r="T24" s="31"/>
      <c r="W24" s="31"/>
      <c r="X24" s="31"/>
      <c r="Y24" s="31"/>
      <c r="Z24" s="31"/>
      <c r="AA24" s="31"/>
      <c r="AB24" s="31"/>
      <c r="AE24" s="31"/>
      <c r="AF24" s="31"/>
      <c r="AG24" s="31"/>
      <c r="AH24" s="31"/>
      <c r="AI24" s="31"/>
      <c r="AJ24" s="31"/>
      <c r="AR24" s="38"/>
    </row>
    <row r="25" spans="1:44" ht="12.75">
      <c r="A25" s="28">
        <v>9</v>
      </c>
      <c r="B25" s="35">
        <f t="shared" si="1"/>
        <v>55</v>
      </c>
      <c r="C25" s="35">
        <v>37.8</v>
      </c>
      <c r="D25" s="36">
        <f>'data ET'!$C$14*$B$6*'data ET'!L13*24*60*60</f>
        <v>0.36711904133475026</v>
      </c>
      <c r="E25" s="37">
        <f>'data ET'!AM13*$B$5/70.4*$B$6</f>
        <v>15.74419559846029</v>
      </c>
      <c r="F25" s="37">
        <f t="shared" si="0"/>
        <v>-10.622657446028652</v>
      </c>
      <c r="G25" s="36">
        <f>'data ET'!AE13+'data ET'!AH13</f>
        <v>37.81658552178273</v>
      </c>
      <c r="O25" s="31"/>
      <c r="P25" s="31"/>
      <c r="Q25" s="31"/>
      <c r="R25" s="31"/>
      <c r="S25" s="31"/>
      <c r="T25" s="31"/>
      <c r="W25" s="31"/>
      <c r="X25" s="31"/>
      <c r="Y25" s="31"/>
      <c r="Z25" s="31"/>
      <c r="AA25" s="31"/>
      <c r="AB25" s="31"/>
      <c r="AE25" s="31"/>
      <c r="AF25" s="31"/>
      <c r="AG25" s="31"/>
      <c r="AH25" s="31"/>
      <c r="AI25" s="31"/>
      <c r="AJ25" s="31"/>
      <c r="AR25" s="38"/>
    </row>
    <row r="26" spans="1:44" ht="12.75">
      <c r="A26" s="28">
        <v>10</v>
      </c>
      <c r="B26" s="35">
        <f t="shared" si="1"/>
        <v>55</v>
      </c>
      <c r="C26" s="35">
        <v>37.8</v>
      </c>
      <c r="D26" s="36">
        <f>'data ET'!$C$14*$B$6*'data ET'!L14*24*60*60</f>
        <v>0.37023412132951794</v>
      </c>
      <c r="E26" s="37">
        <f>'data ET'!AM14*$B$5/70.4*$B$6</f>
        <v>22.035160828606756</v>
      </c>
      <c r="F26" s="37">
        <f t="shared" si="0"/>
        <v>-10.712792862543921</v>
      </c>
      <c r="G26" s="36">
        <f>'data ET'!AE14+'data ET'!AH14</f>
        <v>37.884722022378064</v>
      </c>
      <c r="O26" s="31"/>
      <c r="P26" s="31"/>
      <c r="Q26" s="31"/>
      <c r="R26" s="31"/>
      <c r="S26" s="31"/>
      <c r="T26" s="31"/>
      <c r="W26" s="31"/>
      <c r="X26" s="31"/>
      <c r="Y26" s="31"/>
      <c r="Z26" s="31"/>
      <c r="AA26" s="31"/>
      <c r="AB26" s="31"/>
      <c r="AC26" s="29"/>
      <c r="AE26" s="31"/>
      <c r="AF26" s="31"/>
      <c r="AG26" s="31"/>
      <c r="AH26" s="31"/>
      <c r="AI26" s="31"/>
      <c r="AJ26" s="31"/>
      <c r="AR26" s="38"/>
    </row>
    <row r="27" spans="1:44" ht="12.75">
      <c r="A27" s="28">
        <v>11</v>
      </c>
      <c r="B27" s="35">
        <f t="shared" si="1"/>
        <v>55</v>
      </c>
      <c r="C27" s="35">
        <v>37.8</v>
      </c>
      <c r="D27" s="36">
        <f>'data ET'!$C$14*$B$6*'data ET'!L15*24*60*60</f>
        <v>0.3740251190677609</v>
      </c>
      <c r="E27" s="37">
        <f>'data ET'!AM15*$B$5/70.4*$B$6</f>
        <v>30.508872779436086</v>
      </c>
      <c r="F27" s="37">
        <f t="shared" si="0"/>
        <v>-10.822486084136601</v>
      </c>
      <c r="G27" s="36">
        <f>'data ET'!AE15+'data ET'!AH15</f>
        <v>37.967282937223146</v>
      </c>
      <c r="O27" s="31"/>
      <c r="P27" s="31"/>
      <c r="Q27" s="31"/>
      <c r="R27" s="31"/>
      <c r="S27" s="31"/>
      <c r="T27" s="31"/>
      <c r="W27" s="31"/>
      <c r="X27" s="31"/>
      <c r="Y27" s="31"/>
      <c r="Z27" s="31"/>
      <c r="AA27" s="31"/>
      <c r="AB27" s="31"/>
      <c r="AC27" s="29"/>
      <c r="AE27" s="31"/>
      <c r="AF27" s="31"/>
      <c r="AG27" s="31"/>
      <c r="AH27" s="31"/>
      <c r="AI27" s="31"/>
      <c r="AJ27" s="31"/>
      <c r="AR27" s="38"/>
    </row>
    <row r="28" spans="1:44" ht="12.75">
      <c r="A28" s="28">
        <v>12</v>
      </c>
      <c r="B28" s="35">
        <f t="shared" si="1"/>
        <v>55</v>
      </c>
      <c r="C28" s="35">
        <v>37.8</v>
      </c>
      <c r="D28" s="36">
        <f>'data ET'!$C$14*$B$6*'data ET'!L16*24*60*60</f>
        <v>0.3809030675537396</v>
      </c>
      <c r="E28" s="37">
        <f>'data ET'!AM16*$B$5/70.4*$B$6</f>
        <v>46.36998338140637</v>
      </c>
      <c r="F28" s="37">
        <f t="shared" si="0"/>
        <v>-11.021500797272559</v>
      </c>
      <c r="G28" s="36">
        <f>'data ET'!AE16+'data ET'!AH16</f>
        <v>38.11607240212573</v>
      </c>
      <c r="O28" s="31"/>
      <c r="P28" s="31"/>
      <c r="Q28" s="31"/>
      <c r="R28" s="31"/>
      <c r="S28" s="31"/>
      <c r="T28" s="31"/>
      <c r="W28" s="31"/>
      <c r="X28" s="31"/>
      <c r="Y28" s="31"/>
      <c r="Z28" s="31"/>
      <c r="AA28" s="31"/>
      <c r="AB28" s="31"/>
      <c r="AC28" s="29"/>
      <c r="AE28" s="31"/>
      <c r="AF28" s="31"/>
      <c r="AG28" s="31"/>
      <c r="AH28" s="31"/>
      <c r="AI28" s="31"/>
      <c r="AJ28" s="31"/>
      <c r="AR28" s="38"/>
    </row>
    <row r="29" spans="1:44" ht="12.75">
      <c r="A29" s="28">
        <v>13</v>
      </c>
      <c r="B29" s="35">
        <f t="shared" si="1"/>
        <v>55</v>
      </c>
      <c r="C29" s="35">
        <v>37.8</v>
      </c>
      <c r="D29" s="36">
        <f>'data ET'!$C$14*$B$6*'data ET'!L17*24*60*60</f>
        <v>0.38837283428990965</v>
      </c>
      <c r="E29" s="37">
        <f>'data ET'!AM17*$B$5/70.4*$B$6</f>
        <v>68.2365532039777</v>
      </c>
      <c r="F29" s="37">
        <f t="shared" si="0"/>
        <v>-11.237639881073774</v>
      </c>
      <c r="G29" s="36">
        <f>'data ET'!AE17+'data ET'!AH17</f>
        <v>38.27622270184419</v>
      </c>
      <c r="O29" s="31"/>
      <c r="P29" s="31"/>
      <c r="Q29" s="31"/>
      <c r="R29" s="31"/>
      <c r="S29" s="31"/>
      <c r="T29" s="31"/>
      <c r="W29" s="31"/>
      <c r="X29" s="31"/>
      <c r="Y29" s="31"/>
      <c r="Z29" s="31"/>
      <c r="AA29" s="31"/>
      <c r="AB29" s="31"/>
      <c r="AC29" s="29"/>
      <c r="AE29" s="31"/>
      <c r="AF29" s="31"/>
      <c r="AG29" s="31"/>
      <c r="AH29" s="31"/>
      <c r="AI29" s="31"/>
      <c r="AJ29" s="31"/>
      <c r="AR29" s="38"/>
    </row>
    <row r="30" spans="1:44" ht="12.75">
      <c r="A30" s="28">
        <v>14</v>
      </c>
      <c r="B30" s="35">
        <f t="shared" si="1"/>
        <v>55</v>
      </c>
      <c r="C30" s="35">
        <v>37.8</v>
      </c>
      <c r="D30" s="36">
        <f>'data ET'!$C$14*$B$6*'data ET'!L18*24*60*60</f>
        <v>0.39592475209038747</v>
      </c>
      <c r="E30" s="37">
        <f>'data ET'!AM18*$B$5/70.4*$B$6</f>
        <v>94.22131779217958</v>
      </c>
      <c r="F30" s="37">
        <f t="shared" si="0"/>
        <v>-11.456156021133898</v>
      </c>
      <c r="G30" s="36">
        <f>'data ET'!AE18+'data ET'!AH18</f>
        <v>38.43663055102498</v>
      </c>
      <c r="O30" s="31"/>
      <c r="P30" s="31"/>
      <c r="Q30" s="31"/>
      <c r="R30" s="31"/>
      <c r="S30" s="31"/>
      <c r="T30" s="31"/>
      <c r="W30" s="31"/>
      <c r="X30" s="31"/>
      <c r="Y30" s="31"/>
      <c r="Z30" s="31"/>
      <c r="AA30" s="31"/>
      <c r="AB30" s="31"/>
      <c r="AC30" s="29"/>
      <c r="AE30" s="31"/>
      <c r="AF30" s="31"/>
      <c r="AG30" s="31"/>
      <c r="AH30" s="31"/>
      <c r="AI30" s="31"/>
      <c r="AJ30" s="31"/>
      <c r="AR30" s="38"/>
    </row>
    <row r="31" spans="1:44" ht="12.75">
      <c r="A31" s="28">
        <v>15</v>
      </c>
      <c r="B31" s="35">
        <f t="shared" si="1"/>
        <v>55</v>
      </c>
      <c r="C31" s="35">
        <v>37.8</v>
      </c>
      <c r="D31" s="36">
        <f>'data ET'!$C$14*$B$6*'data ET'!L19*24*60*60</f>
        <v>0.4016589326612949</v>
      </c>
      <c r="E31" s="37">
        <f>'data ET'!AM19*$B$5/70.4*$B$6</f>
        <v>118.91614371291608</v>
      </c>
      <c r="F31" s="37">
        <f t="shared" si="0"/>
        <v>-11.622075597838393</v>
      </c>
      <c r="G31" s="36">
        <f>'data ET'!AE19+'data ET'!AH19</f>
        <v>38.55743249772148</v>
      </c>
      <c r="O31" s="31"/>
      <c r="P31" s="31"/>
      <c r="Q31" s="31"/>
      <c r="R31" s="31"/>
      <c r="S31" s="31"/>
      <c r="T31" s="31"/>
      <c r="W31" s="31"/>
      <c r="X31" s="31"/>
      <c r="Y31" s="31"/>
      <c r="Z31" s="31"/>
      <c r="AA31" s="31"/>
      <c r="AB31" s="31"/>
      <c r="AC31" s="29"/>
      <c r="AE31" s="31"/>
      <c r="AF31" s="31"/>
      <c r="AG31" s="31"/>
      <c r="AH31" s="31"/>
      <c r="AI31" s="31"/>
      <c r="AJ31" s="31"/>
      <c r="AR31" s="38"/>
    </row>
    <row r="32" spans="1:44" ht="12.75">
      <c r="A32" s="28">
        <v>16</v>
      </c>
      <c r="B32" s="35">
        <f t="shared" si="1"/>
        <v>55</v>
      </c>
      <c r="C32" s="35">
        <v>37.8</v>
      </c>
      <c r="D32" s="36">
        <f>'data ET'!$C$14*$B$6*'data ET'!L20*24*60*60</f>
        <v>0.40621616411871053</v>
      </c>
      <c r="E32" s="37">
        <f>'data ET'!AM20*$B$5/70.4*$B$6</f>
        <v>139.90737585970803</v>
      </c>
      <c r="F32" s="37">
        <f t="shared" si="0"/>
        <v>-11.753939933990468</v>
      </c>
      <c r="G32" s="36">
        <f>'data ET'!AE20+'data ET'!AH20</f>
        <v>38.6528337773369</v>
      </c>
      <c r="O32" s="31"/>
      <c r="P32" s="31"/>
      <c r="Q32" s="31"/>
      <c r="R32" s="31"/>
      <c r="S32" s="31"/>
      <c r="T32" s="31"/>
      <c r="W32" s="31"/>
      <c r="X32" s="31"/>
      <c r="Y32" s="31"/>
      <c r="Z32" s="31"/>
      <c r="AA32" s="31"/>
      <c r="AB32" s="31"/>
      <c r="AC32" s="29"/>
      <c r="AE32" s="31"/>
      <c r="AF32" s="31"/>
      <c r="AG32" s="31"/>
      <c r="AH32" s="31"/>
      <c r="AI32" s="31"/>
      <c r="AJ32" s="31"/>
      <c r="AR32" s="38"/>
    </row>
    <row r="33" spans="1:44" ht="12.75">
      <c r="A33" s="28">
        <v>17</v>
      </c>
      <c r="B33" s="35">
        <f t="shared" si="1"/>
        <v>55</v>
      </c>
      <c r="C33" s="35">
        <v>37.8</v>
      </c>
      <c r="D33" s="36">
        <f>'data ET'!$C$14*$B$6*'data ET'!L21*24*60*60</f>
        <v>0.40692001954469526</v>
      </c>
      <c r="E33" s="37">
        <f>'data ET'!AM21*$B$5/70.4*$B$6</f>
        <v>149.06020470459902</v>
      </c>
      <c r="F33" s="37">
        <f t="shared" si="0"/>
        <v>-11.774306121084933</v>
      </c>
      <c r="G33" s="36">
        <f>'data ET'!AE21+'data ET'!AH21</f>
        <v>38.667520824694506</v>
      </c>
      <c r="O33" s="31"/>
      <c r="P33" s="31"/>
      <c r="Q33" s="31"/>
      <c r="R33" s="31"/>
      <c r="S33" s="31"/>
      <c r="T33" s="31"/>
      <c r="W33" s="31"/>
      <c r="X33" s="31"/>
      <c r="Y33" s="31"/>
      <c r="Z33" s="31"/>
      <c r="AA33" s="31"/>
      <c r="AB33" s="31"/>
      <c r="AC33" s="29"/>
      <c r="AE33" s="31"/>
      <c r="AF33" s="31"/>
      <c r="AG33" s="31"/>
      <c r="AH33" s="31"/>
      <c r="AI33" s="31"/>
      <c r="AJ33" s="31"/>
      <c r="AR33" s="38"/>
    </row>
    <row r="34" spans="1:44" ht="12.75">
      <c r="A34" s="28">
        <v>18</v>
      </c>
      <c r="B34" s="35">
        <f t="shared" si="1"/>
        <v>55</v>
      </c>
      <c r="C34" s="35">
        <v>37.8</v>
      </c>
      <c r="D34" s="36">
        <f>'data ET'!$C$14*$B$6*'data ET'!L22*24*60*60</f>
        <v>0.408671083544191</v>
      </c>
      <c r="E34" s="37">
        <f>'data ET'!AM22*$B$5/70.4*$B$6</f>
        <v>155.3777177248243</v>
      </c>
      <c r="F34" s="37">
        <f t="shared" si="0"/>
        <v>-11.824973482181452</v>
      </c>
      <c r="G34" s="36">
        <f>'data ET'!AE22+'data ET'!AH22</f>
        <v>38.70400464237817</v>
      </c>
      <c r="O34" s="31"/>
      <c r="P34" s="31"/>
      <c r="Q34" s="31"/>
      <c r="R34" s="31"/>
      <c r="S34" s="31"/>
      <c r="T34" s="31"/>
      <c r="W34" s="31"/>
      <c r="X34" s="31"/>
      <c r="Y34" s="31"/>
      <c r="Z34" s="31"/>
      <c r="AA34" s="31"/>
      <c r="AB34" s="31"/>
      <c r="AC34" s="29"/>
      <c r="AE34" s="31"/>
      <c r="AF34" s="31"/>
      <c r="AG34" s="31"/>
      <c r="AH34" s="31"/>
      <c r="AI34" s="31"/>
      <c r="AJ34" s="31"/>
      <c r="AR34" s="38"/>
    </row>
    <row r="35" spans="1:44" ht="12.75">
      <c r="A35" s="28">
        <v>19</v>
      </c>
      <c r="B35" s="33"/>
      <c r="C35" s="35"/>
      <c r="D35" s="34"/>
      <c r="E35" s="37"/>
      <c r="F35" s="34"/>
      <c r="G35" s="34"/>
      <c r="O35" s="31"/>
      <c r="P35" s="31"/>
      <c r="Q35" s="31"/>
      <c r="R35" s="31"/>
      <c r="S35" s="31"/>
      <c r="T35" s="31"/>
      <c r="W35" s="31"/>
      <c r="X35" s="31"/>
      <c r="Y35" s="31"/>
      <c r="Z35" s="31"/>
      <c r="AA35" s="31"/>
      <c r="AB35" s="31"/>
      <c r="AC35" s="29"/>
      <c r="AE35" s="31"/>
      <c r="AF35" s="31"/>
      <c r="AG35" s="31"/>
      <c r="AH35" s="31"/>
      <c r="AI35" s="31"/>
      <c r="AJ35" s="31"/>
      <c r="AR35" s="38"/>
    </row>
    <row r="36" spans="1:44" ht="12.75">
      <c r="A36" s="28">
        <v>20</v>
      </c>
      <c r="B36" s="33"/>
      <c r="C36" s="35"/>
      <c r="D36" s="39"/>
      <c r="E36" s="37"/>
      <c r="F36" s="34"/>
      <c r="G36" s="34"/>
      <c r="O36" s="31"/>
      <c r="P36" s="31"/>
      <c r="Q36" s="31"/>
      <c r="R36" s="31"/>
      <c r="S36" s="31"/>
      <c r="T36" s="31"/>
      <c r="W36" s="31"/>
      <c r="X36" s="31"/>
      <c r="Y36" s="31"/>
      <c r="Z36" s="31"/>
      <c r="AA36" s="31"/>
      <c r="AB36" s="31"/>
      <c r="AC36" s="29"/>
      <c r="AE36" s="31"/>
      <c r="AF36" s="31"/>
      <c r="AG36" s="31"/>
      <c r="AH36" s="31"/>
      <c r="AI36" s="31"/>
      <c r="AJ36" s="31"/>
      <c r="AR36" s="38"/>
    </row>
    <row r="37" spans="1:44" ht="12.75">
      <c r="A37" s="28">
        <v>21</v>
      </c>
      <c r="B37" s="33"/>
      <c r="C37" s="35"/>
      <c r="D37" s="39"/>
      <c r="E37" s="37"/>
      <c r="F37" s="34"/>
      <c r="G37" s="34"/>
      <c r="O37" s="31"/>
      <c r="P37" s="31"/>
      <c r="Q37" s="31"/>
      <c r="R37" s="31"/>
      <c r="S37" s="31"/>
      <c r="T37" s="31"/>
      <c r="W37" s="31"/>
      <c r="X37" s="31"/>
      <c r="Y37" s="31"/>
      <c r="Z37" s="31"/>
      <c r="AA37" s="31"/>
      <c r="AB37" s="31"/>
      <c r="AC37" s="29"/>
      <c r="AE37" s="31"/>
      <c r="AF37" s="31"/>
      <c r="AG37" s="31"/>
      <c r="AH37" s="31"/>
      <c r="AI37" s="31"/>
      <c r="AJ37" s="31"/>
      <c r="AR37" s="38"/>
    </row>
    <row r="38" spans="15:44" ht="12.75">
      <c r="O38" s="31"/>
      <c r="P38" s="31"/>
      <c r="Q38" s="31"/>
      <c r="R38" s="31"/>
      <c r="S38" s="31"/>
      <c r="T38" s="31"/>
      <c r="W38" s="31"/>
      <c r="X38" s="31"/>
      <c r="Y38" s="31"/>
      <c r="Z38" s="31"/>
      <c r="AA38" s="31"/>
      <c r="AB38" s="31"/>
      <c r="AC38" s="29"/>
      <c r="AE38" s="31"/>
      <c r="AF38" s="31"/>
      <c r="AG38" s="31"/>
      <c r="AH38" s="31"/>
      <c r="AI38" s="31"/>
      <c r="AJ38" s="31"/>
      <c r="AR38" s="38"/>
    </row>
    <row r="39" spans="15:44" ht="12.75">
      <c r="O39" s="31"/>
      <c r="P39" s="31"/>
      <c r="Q39" s="31"/>
      <c r="R39" s="31"/>
      <c r="S39" s="31"/>
      <c r="T39" s="31"/>
      <c r="W39" s="31"/>
      <c r="X39" s="31"/>
      <c r="Y39" s="31"/>
      <c r="Z39" s="31"/>
      <c r="AA39" s="31"/>
      <c r="AB39" s="31"/>
      <c r="AE39" s="31"/>
      <c r="AF39" s="31"/>
      <c r="AG39" s="31"/>
      <c r="AH39" s="31"/>
      <c r="AI39" s="31"/>
      <c r="AJ39" s="31"/>
      <c r="AR39" s="38"/>
    </row>
    <row r="40" ht="12.75">
      <c r="AR40" s="38"/>
    </row>
    <row r="41" ht="12.75">
      <c r="AR41" s="38"/>
    </row>
    <row r="42" ht="12.75">
      <c r="AR42" s="38"/>
    </row>
    <row r="43" ht="12.75">
      <c r="AR43" s="38"/>
    </row>
    <row r="44" spans="57:59" ht="12.75">
      <c r="BE44" s="40"/>
      <c r="BF44" s="40"/>
      <c r="BG44" s="40"/>
    </row>
    <row r="45" spans="27:59" s="40" customFormat="1" ht="14.25" customHeight="1">
      <c r="AA45" s="28"/>
      <c r="BE45" s="28"/>
      <c r="BF45" s="28"/>
      <c r="BG45" s="28"/>
    </row>
    <row r="47" ht="12.75">
      <c r="AA47" s="31"/>
    </row>
    <row r="48" ht="12.75">
      <c r="AA48" s="31"/>
    </row>
    <row r="49" ht="12.75">
      <c r="AA49" s="31"/>
    </row>
    <row r="50" ht="12.75">
      <c r="AA50" s="31"/>
    </row>
    <row r="51" ht="12.75">
      <c r="AA51" s="31"/>
    </row>
    <row r="52" ht="12.75">
      <c r="AA52" s="31"/>
    </row>
    <row r="53" ht="12.75">
      <c r="AA53" s="31"/>
    </row>
    <row r="54" ht="12.75">
      <c r="AA54" s="31"/>
    </row>
    <row r="55" ht="12.75">
      <c r="AA55" s="31"/>
    </row>
    <row r="56" ht="12.75">
      <c r="AA56" s="31"/>
    </row>
    <row r="57" ht="12.75">
      <c r="AA57" s="31"/>
    </row>
    <row r="58" ht="12.75">
      <c r="AA58" s="31"/>
    </row>
    <row r="59" ht="12.75">
      <c r="AA59" s="31"/>
    </row>
    <row r="60" ht="12.75">
      <c r="AA60" s="31"/>
    </row>
    <row r="61" ht="12.75">
      <c r="AA61" s="31"/>
    </row>
    <row r="62" ht="12.75">
      <c r="AA62" s="31"/>
    </row>
    <row r="63" ht="12.75">
      <c r="AA63" s="31"/>
    </row>
    <row r="64" ht="12.75">
      <c r="AA64" s="31"/>
    </row>
    <row r="65" spans="10:25" ht="12.75">
      <c r="J65" s="31"/>
      <c r="K65" s="31"/>
      <c r="L65" s="29"/>
      <c r="M65" s="31"/>
      <c r="N65" s="41"/>
      <c r="O65" s="42"/>
      <c r="P65" s="29"/>
      <c r="R65" s="31"/>
      <c r="S65" s="31"/>
      <c r="T65" s="31"/>
      <c r="U65" s="31"/>
      <c r="V65" s="31"/>
      <c r="W65" s="31"/>
      <c r="Y65" s="31"/>
    </row>
    <row r="66" spans="10:25" ht="12.75">
      <c r="J66" s="31"/>
      <c r="K66" s="31"/>
      <c r="L66" s="29"/>
      <c r="M66" s="31"/>
      <c r="N66" s="41"/>
      <c r="O66" s="42"/>
      <c r="P66" s="29"/>
      <c r="R66" s="31"/>
      <c r="S66" s="31"/>
      <c r="T66" s="31"/>
      <c r="V66" s="31"/>
      <c r="W66" s="31"/>
      <c r="X66" s="31"/>
      <c r="Y66" s="31"/>
    </row>
    <row r="67" spans="10:25" ht="12.75">
      <c r="J67" s="31"/>
      <c r="K67" s="31"/>
      <c r="L67" s="29"/>
      <c r="M67" s="31"/>
      <c r="N67" s="41"/>
      <c r="O67" s="42"/>
      <c r="P67" s="29"/>
      <c r="R67" s="31"/>
      <c r="S67" s="31"/>
      <c r="T67" s="31"/>
      <c r="V67" s="31"/>
      <c r="W67" s="31"/>
      <c r="X67" s="31"/>
      <c r="Y67" s="31"/>
    </row>
    <row r="68" spans="3:22" ht="12.75">
      <c r="C68" s="29"/>
      <c r="D68" s="29"/>
      <c r="J68" s="42"/>
      <c r="V68" s="31"/>
    </row>
    <row r="69" ht="12.75">
      <c r="D69" s="29"/>
    </row>
    <row r="70" spans="9:27" ht="12.75">
      <c r="I70" s="29"/>
      <c r="Y70" s="28" t="s">
        <v>64</v>
      </c>
      <c r="Z70" s="28" t="s">
        <v>65</v>
      </c>
      <c r="AA70" s="28" t="s">
        <v>66</v>
      </c>
    </row>
    <row r="71" spans="25:26" ht="12.75">
      <c r="Y71" s="28">
        <v>-0.3726094097222273</v>
      </c>
      <c r="Z71" s="28">
        <v>-0.2386054210652411</v>
      </c>
    </row>
    <row r="72" spans="8:26" ht="12.75">
      <c r="H72" s="38"/>
      <c r="I72" s="38"/>
      <c r="Y72" s="28">
        <v>-0.3124981423611118</v>
      </c>
      <c r="Z72" s="28">
        <v>-0.23739426239593842</v>
      </c>
    </row>
    <row r="73" spans="8:26" ht="12.75">
      <c r="H73" s="38"/>
      <c r="I73" s="38"/>
      <c r="Y73" s="28">
        <v>-0.31875174045138693</v>
      </c>
      <c r="Z73" s="28">
        <v>-0.2646246017366821</v>
      </c>
    </row>
    <row r="74" spans="8:26" ht="12.75">
      <c r="H74" s="38"/>
      <c r="I74" s="38"/>
      <c r="Y74" s="28">
        <v>-0.3309592171717142</v>
      </c>
      <c r="Z74" s="28">
        <v>-0.2716894624006505</v>
      </c>
    </row>
    <row r="75" spans="8:26" ht="12.75">
      <c r="H75" s="38"/>
      <c r="I75" s="38"/>
      <c r="Y75" s="28">
        <v>-0.2547128645833368</v>
      </c>
      <c r="Z75" s="28">
        <v>-0.28340112789347716</v>
      </c>
    </row>
    <row r="76" spans="8:26" ht="12.75">
      <c r="H76" s="38"/>
      <c r="I76" s="38"/>
      <c r="Y76" s="28">
        <v>-0.21869184027778205</v>
      </c>
      <c r="Z76" s="28">
        <v>-0.27927508357005226</v>
      </c>
    </row>
    <row r="77" spans="8:26" ht="12.75">
      <c r="H77" s="38"/>
      <c r="I77" s="38"/>
      <c r="Y77" s="28">
        <v>-0.29349559461806224</v>
      </c>
      <c r="Z77" s="28">
        <v>-0.25031400517617775</v>
      </c>
    </row>
    <row r="78" spans="8:26" ht="12.75">
      <c r="H78" s="38"/>
      <c r="I78" s="38"/>
      <c r="Y78" s="28">
        <v>-0.27092250434027393</v>
      </c>
      <c r="Z78" s="28">
        <v>-0.23968928280766472</v>
      </c>
    </row>
    <row r="79" spans="8:26" ht="12.75">
      <c r="H79" s="38"/>
      <c r="I79" s="38"/>
      <c r="Y79" s="28">
        <v>-0.18252738715278555</v>
      </c>
      <c r="Z79" s="28">
        <v>-0.14111650498110817</v>
      </c>
    </row>
    <row r="80" spans="8:26" ht="12.75">
      <c r="H80" s="38"/>
      <c r="I80" s="38"/>
      <c r="Y80" s="28">
        <v>-0.12260089409722214</v>
      </c>
      <c r="Z80" s="28">
        <v>-0.1115668375325044</v>
      </c>
    </row>
    <row r="81" spans="8:26" ht="12.75">
      <c r="H81" s="38"/>
      <c r="I81" s="38"/>
      <c r="Y81" s="28">
        <v>-0.10782964843749882</v>
      </c>
      <c r="Z81" s="28">
        <v>-0.08406452258153901</v>
      </c>
    </row>
    <row r="82" spans="8:26" ht="12.75">
      <c r="H82" s="38"/>
      <c r="I82" s="38"/>
      <c r="Y82" s="28">
        <v>-0.016658888888881063</v>
      </c>
      <c r="Z82" s="28">
        <v>-0.004793608469805477</v>
      </c>
    </row>
    <row r="83" spans="8:26" ht="12.75">
      <c r="H83" s="38"/>
      <c r="I83" s="38"/>
      <c r="Y83" s="28">
        <v>0.06666247395833408</v>
      </c>
      <c r="Z83" s="28">
        <v>0.08329211511496726</v>
      </c>
    </row>
    <row r="84" spans="8:26" ht="12.75">
      <c r="H84" s="38"/>
      <c r="I84" s="38"/>
      <c r="Y84" s="28">
        <v>0.22139160156250454</v>
      </c>
      <c r="Z84" s="28">
        <v>0.1880470182360155</v>
      </c>
    </row>
    <row r="85" spans="8:26" ht="12.75">
      <c r="H85" s="38"/>
      <c r="I85" s="38"/>
      <c r="Y85" s="28">
        <v>0.3021642838541709</v>
      </c>
      <c r="Z85" s="28">
        <v>0.2836203084614465</v>
      </c>
    </row>
    <row r="86" spans="8:26" ht="12.75">
      <c r="H86" s="38"/>
      <c r="I86" s="38"/>
      <c r="Y86" s="28">
        <v>0.3498111067708322</v>
      </c>
      <c r="Z86" s="28">
        <v>0.3227514888527878</v>
      </c>
    </row>
    <row r="87" spans="8:26" ht="12.75">
      <c r="H87" s="38"/>
      <c r="I87" s="38"/>
      <c r="Y87" s="28">
        <v>0.37107634114584015</v>
      </c>
      <c r="Z87" s="28">
        <v>0.32785966503916375</v>
      </c>
    </row>
    <row r="88" spans="8:26" ht="12.75">
      <c r="H88" s="38"/>
      <c r="I88" s="38"/>
      <c r="Y88" s="28">
        <v>0.37083641568538467</v>
      </c>
      <c r="Z88" s="28">
        <v>0.34755328573442223</v>
      </c>
    </row>
    <row r="89" spans="8:28" ht="12.75">
      <c r="H89" s="38"/>
      <c r="I89" s="38"/>
      <c r="Y89" s="31">
        <v>-0.4753819164299287</v>
      </c>
      <c r="AA89" s="31">
        <v>-0.2577565967796621</v>
      </c>
      <c r="AB89" s="31"/>
    </row>
    <row r="90" spans="25:28" ht="12.75">
      <c r="Y90" s="31">
        <v>-0.3028783053188178</v>
      </c>
      <c r="AA90" s="31">
        <v>-0.24826618185545143</v>
      </c>
      <c r="AB90" s="31"/>
    </row>
    <row r="91" spans="25:27" ht="12.75">
      <c r="Y91" s="31">
        <v>-0.31936441642992436</v>
      </c>
      <c r="AA91" s="31">
        <v>-0.2661833612025186</v>
      </c>
    </row>
    <row r="92" spans="25:27" ht="12.75">
      <c r="Y92" s="31">
        <v>-0.3733212314551764</v>
      </c>
      <c r="AA92" s="31">
        <v>-0.2740693055954919</v>
      </c>
    </row>
    <row r="93" spans="25:27" ht="12.75">
      <c r="Y93" s="31">
        <v>-0.30000000000000143</v>
      </c>
      <c r="AA93" s="31">
        <v>-0.2814796558086228</v>
      </c>
    </row>
    <row r="94" spans="25:27" ht="12.75">
      <c r="Y94" s="31">
        <v>-0.30000000000000143</v>
      </c>
      <c r="AA94" s="31">
        <v>-0.28017048918670096</v>
      </c>
    </row>
    <row r="95" spans="25:27" ht="12.75">
      <c r="Y95" s="31">
        <v>-0.30000000000000143</v>
      </c>
      <c r="AA95" s="31">
        <v>-0.21961578084541733</v>
      </c>
    </row>
    <row r="96" spans="25:27" ht="12.75">
      <c r="Y96" s="31">
        <v>-0.2</v>
      </c>
      <c r="AA96" s="31">
        <v>-0.19083358279348384</v>
      </c>
    </row>
    <row r="97" spans="25:27" ht="12.75">
      <c r="Y97" s="31">
        <v>-0.19249059698547627</v>
      </c>
      <c r="AA97" s="31">
        <v>-0.12766535129355422</v>
      </c>
    </row>
    <row r="98" spans="25:27" ht="12.75">
      <c r="Y98" s="31">
        <v>-0.15563816642992095</v>
      </c>
      <c r="AA98" s="31">
        <v>-0.09804412812544874</v>
      </c>
    </row>
    <row r="99" spans="25:27" ht="12.75">
      <c r="Y99" s="31">
        <v>-0.09999999999999859</v>
      </c>
      <c r="AA99" s="31">
        <v>-0.06404573843660355</v>
      </c>
    </row>
    <row r="100" spans="25:27" ht="12.75">
      <c r="Y100" s="31">
        <v>-0.0068024372632578545</v>
      </c>
      <c r="AA100" s="31">
        <v>0.033902937646042186</v>
      </c>
    </row>
    <row r="101" spans="25:27" ht="12.75">
      <c r="Y101" s="31">
        <v>0.09050176412562932</v>
      </c>
      <c r="AA101" s="31">
        <v>0.13744811403712243</v>
      </c>
    </row>
    <row r="102" spans="25:27" ht="12.75">
      <c r="Y102" s="31">
        <v>0.25</v>
      </c>
      <c r="AA102" s="31">
        <v>0.2345204424277409</v>
      </c>
    </row>
    <row r="103" spans="25:27" ht="12.75">
      <c r="Y103" s="31">
        <v>0.41490676412562805</v>
      </c>
      <c r="AA103" s="31">
        <v>0.2817146583714263</v>
      </c>
    </row>
    <row r="104" spans="25:27" ht="12.75">
      <c r="Y104" s="31">
        <v>0.45690457662562806</v>
      </c>
      <c r="AA104" s="31">
        <v>0.32928713946664445</v>
      </c>
    </row>
    <row r="105" spans="25:27" ht="12.75">
      <c r="Y105" s="31">
        <v>0.5000000000000029</v>
      </c>
      <c r="AA105" s="31">
        <v>0.3394146366922769</v>
      </c>
    </row>
    <row r="106" spans="25:27" ht="12.75">
      <c r="Y106" s="31">
        <v>0.55</v>
      </c>
      <c r="AA106" s="31">
        <v>0.3680363020861819</v>
      </c>
    </row>
  </sheetData>
  <sheetProtection password="9986" sheet="1" objects="1" scenarios="1" selectLockedCells="1" selectUnlockedCells="1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O50"/>
  <sheetViews>
    <sheetView zoomScalePageLayoutView="0" workbookViewId="0" topLeftCell="B9">
      <selection activeCell="B9" sqref="A1:IV16384"/>
    </sheetView>
  </sheetViews>
  <sheetFormatPr defaultColWidth="9.140625" defaultRowHeight="12.75"/>
  <cols>
    <col min="1" max="1" width="21.57421875" style="47" customWidth="1"/>
    <col min="2" max="2" width="9.28125" style="47" bestFit="1" customWidth="1"/>
    <col min="3" max="3" width="12.421875" style="47" bestFit="1" customWidth="1"/>
    <col min="4" max="7" width="9.140625" style="47" customWidth="1"/>
    <col min="8" max="12" width="9.28125" style="47" bestFit="1" customWidth="1"/>
    <col min="13" max="14" width="9.7109375" style="47" bestFit="1" customWidth="1"/>
    <col min="15" max="27" width="9.28125" style="47" bestFit="1" customWidth="1"/>
    <col min="28" max="28" width="9.140625" style="47" customWidth="1"/>
    <col min="29" max="29" width="9.28125" style="47" bestFit="1" customWidth="1"/>
    <col min="30" max="30" width="9.140625" style="47" customWidth="1"/>
    <col min="31" max="36" width="9.28125" style="47" bestFit="1" customWidth="1"/>
    <col min="37" max="16384" width="9.140625" style="47" customWidth="1"/>
  </cols>
  <sheetData>
    <row r="2" spans="39:40" ht="12.75">
      <c r="AM2" s="28" t="s">
        <v>45</v>
      </c>
      <c r="AN2" s="29">
        <v>70.4</v>
      </c>
    </row>
    <row r="3" spans="1:41" ht="12.75">
      <c r="A3" s="47" t="s">
        <v>48</v>
      </c>
      <c r="B3" s="48">
        <f>0.336*4.484*(1.46+SQRT('Settings WL'!$B$7))</f>
        <v>6.964034457473525</v>
      </c>
      <c r="C3" s="47" t="s">
        <v>49</v>
      </c>
      <c r="H3" s="49"/>
      <c r="I3" s="49" t="s">
        <v>63</v>
      </c>
      <c r="J3" s="49" t="s">
        <v>62</v>
      </c>
      <c r="K3" s="49" t="s">
        <v>61</v>
      </c>
      <c r="L3" s="49" t="s">
        <v>13</v>
      </c>
      <c r="M3" s="49" t="s">
        <v>3</v>
      </c>
      <c r="N3" s="49" t="s">
        <v>4</v>
      </c>
      <c r="O3" s="49" t="s">
        <v>16</v>
      </c>
      <c r="P3" s="49" t="s">
        <v>17</v>
      </c>
      <c r="Q3" s="49" t="s">
        <v>15</v>
      </c>
      <c r="R3" s="49" t="s">
        <v>38</v>
      </c>
      <c r="S3" s="49" t="s">
        <v>23</v>
      </c>
      <c r="T3" s="49" t="s">
        <v>28</v>
      </c>
      <c r="U3" s="49" t="s">
        <v>31</v>
      </c>
      <c r="V3" s="49" t="s">
        <v>39</v>
      </c>
      <c r="W3" s="49" t="s">
        <v>35</v>
      </c>
      <c r="X3" s="49" t="s">
        <v>37</v>
      </c>
      <c r="Y3" s="47" t="s">
        <v>59</v>
      </c>
      <c r="Z3" s="47" t="s">
        <v>58</v>
      </c>
      <c r="AA3" s="47" t="s">
        <v>60</v>
      </c>
      <c r="AC3" s="49" t="s">
        <v>55</v>
      </c>
      <c r="AE3" s="49" t="s">
        <v>34</v>
      </c>
      <c r="AF3" s="49" t="s">
        <v>41</v>
      </c>
      <c r="AG3" s="49" t="s">
        <v>56</v>
      </c>
      <c r="AH3" s="49" t="s">
        <v>57</v>
      </c>
      <c r="AI3" s="49" t="s">
        <v>26</v>
      </c>
      <c r="AJ3" s="47" t="str">
        <f>'Settings WL'!G15</f>
        <v>ET (ºC)</v>
      </c>
      <c r="AM3" s="28" t="s">
        <v>44</v>
      </c>
      <c r="AN3" s="29" t="s">
        <v>54</v>
      </c>
      <c r="AO3" s="47" t="s">
        <v>88</v>
      </c>
    </row>
    <row r="4" spans="1:39" ht="12.75">
      <c r="A4" s="47" t="s">
        <v>50</v>
      </c>
      <c r="B4" s="48">
        <f>'data WL'!$Q$5*'data WL'!B17/(2*0.01*'data WL'!$B$7)</f>
        <v>8.428302605168172</v>
      </c>
      <c r="C4" s="47" t="s">
        <v>49</v>
      </c>
      <c r="H4" s="47">
        <v>0</v>
      </c>
      <c r="W4" s="50"/>
      <c r="AM4" s="28">
        <v>0</v>
      </c>
    </row>
    <row r="5" spans="8:41" ht="12.75">
      <c r="H5" s="47">
        <v>1</v>
      </c>
      <c r="I5" s="50">
        <f>'Settings WL'!F17/('data WL'!$B$9/1000)</f>
        <v>-167.853938803113</v>
      </c>
      <c r="J5" s="50"/>
      <c r="K5" s="50">
        <f aca="true" t="shared" si="0" ref="K5:K22">I5+J5</f>
        <v>-167.853938803113</v>
      </c>
      <c r="L5" s="50">
        <f>'data WL'!AA5</f>
        <v>2945.275848220754</v>
      </c>
      <c r="M5" s="51">
        <f>'Settings WL'!D17/('Settings WL'!$B$6*L5)</f>
        <v>2.024754668782253E-06</v>
      </c>
      <c r="N5" s="51">
        <f>M5/(4.68*'Settings WL'!$B$6^-0.33)</f>
        <v>1.6707692307692316E-06</v>
      </c>
      <c r="O5" s="48">
        <f>'data WL'!$B$15/'data WL'!$B$16</f>
        <v>2.0833333333333335</v>
      </c>
      <c r="P5" s="48">
        <f>(('Settings WL'!$B$7/100)*(0.01*'data WL'!$B$7*2))/'data WL'!$B$15</f>
        <v>194.49469192193212</v>
      </c>
      <c r="Q5" s="48">
        <f>2+1.3*O5^0.15+0.66*P5^0.5*O5^0.33</f>
        <v>15.178334431638902</v>
      </c>
      <c r="R5" s="48">
        <f>IF('Settings WL'!E17/'data WL'!$B$20*'data WL'!$B$19&lt;'data WL'!$B$18,'data WL'!$B$18,('Settings WL'!E17/'data WL'!$B$20*'data WL'!$B$19))</f>
        <v>0.5</v>
      </c>
      <c r="S5" s="52">
        <f>(('data WL'!J5*('data WL'!$B$7*0.01)^2))/(R5*('data WL'!$B$23+'data WL'!$B$24*'data WL'!$B$22))</f>
        <v>0</v>
      </c>
      <c r="T5" s="53">
        <f>0.622*EXP(6.414+((17.26*'Settings WL'!C17*'Settings WL'!B17/100)/(237.2+'Settings WL'!C17*'Settings WL'!B17/100)))/('data WL'!$B$21-EXP(6.414+((17.26*'Settings WL'!C17)/(237.2+'Settings WL'!C17))))</f>
        <v>0.016095114800355217</v>
      </c>
      <c r="U5" s="54">
        <f>1.005*'Settings WL'!C17+2500*'data WL'!T5+1.86*'data WL'!T5*'Settings WL'!C17</f>
        <v>79.35840233227141</v>
      </c>
      <c r="V5" s="47">
        <f>'data WL'!B17</f>
        <v>0.027</v>
      </c>
      <c r="W5" s="48">
        <f>'data WL'!B4</f>
        <v>8.428302605168172</v>
      </c>
      <c r="X5" s="48">
        <f>W5*0.01*'data WL'!$B$7/R5</f>
        <v>0.4098150296542504</v>
      </c>
      <c r="Y5" s="50">
        <f>EXP(6.414+(17.26*'data WL'!AI5)/(237.2+'data WL'!AI5))*((100-0)/100)</f>
        <v>6545.057440490566</v>
      </c>
      <c r="Z5" s="50">
        <f>EXP(6.414+(17.26*'Settings WL'!C17)/(237.2+'Settings WL'!C17))*(('Settings WL'!B17)/100)</f>
        <v>3599.7815922698114</v>
      </c>
      <c r="AA5" s="50">
        <f aca="true" t="shared" si="1" ref="AA5:AA22">Y5-Z5</f>
        <v>2945.275848220754</v>
      </c>
      <c r="AC5" s="48">
        <f>('data WL'!S5/6)*(1+(2*'data WL'!R5)/('data WL'!W5*'data WL'!$B$7*0.01))</f>
        <v>0</v>
      </c>
      <c r="AE5" s="48">
        <f>'Settings WL'!C17</f>
        <v>37.8</v>
      </c>
      <c r="AF5" s="48">
        <f aca="true" t="shared" si="2" ref="AF5:AF22">ABS(AC5)</f>
        <v>0</v>
      </c>
      <c r="AG5" s="47">
        <f>(-'data WL'!N5*'data WL'!L5*'Settings WL'!D17/(24*60*60)*2.5*10^5)/'data WL'!V5</f>
        <v>-0.18869247558491126</v>
      </c>
      <c r="AH5" s="48">
        <f aca="true" t="shared" si="3" ref="AH5:AH22">AC5+AG5</f>
        <v>-0.18869247558491126</v>
      </c>
      <c r="AI5" s="48">
        <f>'data WL'!AC5+'Settings WL'!C17</f>
        <v>37.8</v>
      </c>
      <c r="AJ5" s="48">
        <f>AH5+AI5</f>
        <v>37.61130752441509</v>
      </c>
      <c r="AM5" s="28">
        <v>1</v>
      </c>
      <c r="AN5" s="28">
        <v>0.25379423076792057</v>
      </c>
      <c r="AO5" s="47">
        <f>'Settings WL'!E17+'Settings WL'!F17</f>
        <v>-10.093668663908819</v>
      </c>
    </row>
    <row r="6" spans="1:41" ht="12.75">
      <c r="A6" s="47" t="s">
        <v>27</v>
      </c>
      <c r="B6" s="47">
        <v>1028</v>
      </c>
      <c r="C6" s="47" t="s">
        <v>10</v>
      </c>
      <c r="H6" s="47">
        <v>2</v>
      </c>
      <c r="I6" s="50">
        <f>'Settings WL'!F18/('data WL'!$B$9/1000)</f>
        <v>-167.853938803113</v>
      </c>
      <c r="J6" s="50"/>
      <c r="K6" s="50">
        <f t="shared" si="0"/>
        <v>-167.853938803113</v>
      </c>
      <c r="L6" s="50">
        <f>'data WL'!AA6</f>
        <v>2945.275848220754</v>
      </c>
      <c r="M6" s="51">
        <f>'Settings WL'!D18/('Settings WL'!$B$6*L6)</f>
        <v>2.024754668782253E-06</v>
      </c>
      <c r="N6" s="51">
        <f>M6/(4.68*'Settings WL'!$B$6^-0.33)</f>
        <v>1.6707692307692316E-06</v>
      </c>
      <c r="O6" s="48">
        <f>'data WL'!$B$15/'data WL'!$B$16</f>
        <v>2.0833333333333335</v>
      </c>
      <c r="P6" s="48">
        <f>(('Settings WL'!$B$7/100)*(0.01*'data WL'!$B$7*2))/'data WL'!$B$15</f>
        <v>194.49469192193212</v>
      </c>
      <c r="Q6" s="48">
        <f aca="true" t="shared" si="4" ref="Q6:Q22">2+1.3*O6^0.15+0.66*P6^0.5*O6^0.33</f>
        <v>15.178334431638902</v>
      </c>
      <c r="R6" s="48">
        <f>IF('Settings WL'!E18/'data WL'!$B$20*'data WL'!$B$19&lt;'data WL'!$B$18,'data WL'!$B$18,('Settings WL'!E18/'data WL'!$B$20*'data WL'!$B$19))</f>
        <v>0.5</v>
      </c>
      <c r="S6" s="52">
        <f>(('data WL'!J6*('data WL'!$B$7*0.01)^2))/(R6*('data WL'!$B$23+'data WL'!$B$24*('data WL'!AF5)*'data WL'!$B$11))</f>
        <v>0</v>
      </c>
      <c r="T6" s="53">
        <f>0.622*EXP(6.414+((17.26*'Settings WL'!C18*'Settings WL'!B18/100)/(237.2+'Settings WL'!C18*'Settings WL'!B18/100)))/('data WL'!$B$21-EXP(6.414+((17.26*'Settings WL'!C18)/(237.2+'Settings WL'!C18))))</f>
        <v>0.016095114800355217</v>
      </c>
      <c r="U6" s="54">
        <f>1.005*'Settings WL'!C18+2500*'data WL'!T6+1.86*'data WL'!T6*'Settings WL'!C18</f>
        <v>79.35840233227141</v>
      </c>
      <c r="V6" s="47">
        <f aca="true" t="shared" si="5" ref="V6:W21">V5</f>
        <v>0.027</v>
      </c>
      <c r="W6" s="48">
        <f t="shared" si="5"/>
        <v>8.428302605168172</v>
      </c>
      <c r="X6" s="48">
        <f>W6*0.01*'data WL'!$B$7/R6</f>
        <v>0.4098150296542504</v>
      </c>
      <c r="Y6" s="50">
        <f>EXP(6.414+(17.26*'data WL'!AI6)/(237.2+'data WL'!AI6))*((100-0)/100)</f>
        <v>6545.057440490566</v>
      </c>
      <c r="Z6" s="50">
        <f>EXP(6.414+(17.26*'Settings WL'!C18)/(237.2+'Settings WL'!C18))*(('Settings WL'!B18)/100)</f>
        <v>3599.7815922698114</v>
      </c>
      <c r="AA6" s="50">
        <f t="shared" si="1"/>
        <v>2945.275848220754</v>
      </c>
      <c r="AC6" s="48">
        <f>('data WL'!S6/6)*(1+(2*'data WL'!R6)/('data WL'!W6*'data WL'!$B$7*0.01))</f>
        <v>0</v>
      </c>
      <c r="AE6" s="48">
        <f>'Settings WL'!C18</f>
        <v>37.8</v>
      </c>
      <c r="AF6" s="48">
        <f t="shared" si="2"/>
        <v>0</v>
      </c>
      <c r="AG6" s="47">
        <f>(-'data WL'!N6*'data WL'!L6*'Settings WL'!D18/(24*60*60)*2.5*10^5)/'data WL'!V6</f>
        <v>-0.18869247558491126</v>
      </c>
      <c r="AH6" s="48">
        <f t="shared" si="3"/>
        <v>-0.18869247558491126</v>
      </c>
      <c r="AI6" s="48">
        <f>'data WL'!AC6+'Settings WL'!C18</f>
        <v>37.8</v>
      </c>
      <c r="AJ6" s="48">
        <f aca="true" t="shared" si="6" ref="AJ6:AJ22">AH6+AI6</f>
        <v>37.61130752441509</v>
      </c>
      <c r="AM6" s="28">
        <v>2</v>
      </c>
      <c r="AN6" s="28">
        <v>1.1161284642729954</v>
      </c>
      <c r="AO6" s="47">
        <f>'Settings WL'!E18+'Settings WL'!F18</f>
        <v>-9.21173592509681</v>
      </c>
    </row>
    <row r="7" spans="1:41" ht="12.75">
      <c r="A7" s="47" t="s">
        <v>36</v>
      </c>
      <c r="B7" s="48">
        <f>((B9/4.1783)^0.33)</f>
        <v>2.431183649024151</v>
      </c>
      <c r="C7" s="47" t="s">
        <v>9</v>
      </c>
      <c r="H7" s="47">
        <v>3</v>
      </c>
      <c r="I7" s="50">
        <f>'Settings WL'!F19/('data WL'!$B$9/1000)</f>
        <v>-167.853938803113</v>
      </c>
      <c r="J7" s="50"/>
      <c r="K7" s="50">
        <f t="shared" si="0"/>
        <v>-167.853938803113</v>
      </c>
      <c r="L7" s="50">
        <f>'data WL'!AA7</f>
        <v>2945.275848220754</v>
      </c>
      <c r="M7" s="51">
        <f>'Settings WL'!D19/('Settings WL'!$B$6*L7)</f>
        <v>2.024754668782253E-06</v>
      </c>
      <c r="N7" s="51">
        <f>M7/(4.68*'Settings WL'!$B$6^-0.33)</f>
        <v>1.6707692307692316E-06</v>
      </c>
      <c r="O7" s="48">
        <f>'data WL'!$B$15/'data WL'!$B$16</f>
        <v>2.0833333333333335</v>
      </c>
      <c r="P7" s="48">
        <f>(('Settings WL'!$B$7/100)*(0.01*'data WL'!$B$7*2))/'data WL'!$B$15</f>
        <v>194.49469192193212</v>
      </c>
      <c r="Q7" s="48">
        <f t="shared" si="4"/>
        <v>15.178334431638902</v>
      </c>
      <c r="R7" s="48">
        <f>IF('Settings WL'!E19/'data WL'!$B$20*'data WL'!$B$19&lt;'data WL'!$B$18,'data WL'!$B$18,('Settings WL'!E19/'data WL'!$B$20*'data WL'!$B$19))</f>
        <v>0.5</v>
      </c>
      <c r="S7" s="52">
        <f>(('data WL'!J7*('data WL'!$B$7*0.01)^2))/(R7*('data WL'!$B$23+'data WL'!$B$24*('data WL'!AF6)*'data WL'!$B$11))</f>
        <v>0</v>
      </c>
      <c r="T7" s="53">
        <f>0.622*EXP(6.414+((17.26*'Settings WL'!C19*'Settings WL'!B19/100)/(237.2+'Settings WL'!C19*'Settings WL'!B19/100)))/('data WL'!$B$21-EXP(6.414+((17.26*'Settings WL'!C19)/(237.2+'Settings WL'!C19))))</f>
        <v>0.016095114800355217</v>
      </c>
      <c r="U7" s="54">
        <f>1.005*'Settings WL'!C19+2500*'data WL'!T7+1.86*'data WL'!T7*'Settings WL'!C19</f>
        <v>79.35840233227141</v>
      </c>
      <c r="V7" s="47">
        <f t="shared" si="5"/>
        <v>0.027</v>
      </c>
      <c r="W7" s="48">
        <f t="shared" si="5"/>
        <v>8.428302605168172</v>
      </c>
      <c r="X7" s="48">
        <f>W7*0.01*'data WL'!$B$7/R7</f>
        <v>0.4098150296542504</v>
      </c>
      <c r="Y7" s="50">
        <f>EXP(6.414+(17.26*'data WL'!AI7)/(237.2+'data WL'!AI7))*((100-0)/100)</f>
        <v>6545.057440490566</v>
      </c>
      <c r="Z7" s="50">
        <f>EXP(6.414+(17.26*'Settings WL'!C19)/(237.2+'Settings WL'!C19))*(('Settings WL'!B19)/100)</f>
        <v>3599.7815922698114</v>
      </c>
      <c r="AA7" s="50">
        <f t="shared" si="1"/>
        <v>2945.275848220754</v>
      </c>
      <c r="AC7" s="48">
        <f>('data WL'!S7/6)*(1+(2*'data WL'!R7)/('data WL'!W7*'data WL'!$B$7*0.01))</f>
        <v>0</v>
      </c>
      <c r="AE7" s="48">
        <f>'Settings WL'!C19</f>
        <v>37.8</v>
      </c>
      <c r="AF7" s="48">
        <f t="shared" si="2"/>
        <v>0</v>
      </c>
      <c r="AG7" s="47">
        <f>(-'data WL'!N7*'data WL'!L7*'Settings WL'!D19/(24*60*60)*2.5*10^5)/'data WL'!V7</f>
        <v>-0.18869247558491126</v>
      </c>
      <c r="AH7" s="48">
        <f t="shared" si="3"/>
        <v>-0.18869247558491126</v>
      </c>
      <c r="AI7" s="48">
        <f>'data WL'!AC7+'Settings WL'!C19</f>
        <v>37.8</v>
      </c>
      <c r="AJ7" s="48">
        <f t="shared" si="6"/>
        <v>37.61130752441509</v>
      </c>
      <c r="AM7" s="28">
        <v>3</v>
      </c>
      <c r="AN7" s="28">
        <v>0.9846189768214906</v>
      </c>
      <c r="AO7" s="47">
        <f>'Settings WL'!E19+'Settings WL'!F19</f>
        <v>-9.34623426453585</v>
      </c>
    </row>
    <row r="8" spans="1:41" ht="12.75">
      <c r="A8" s="47" t="s">
        <v>6</v>
      </c>
      <c r="B8" s="48">
        <f>4.69*('Settings WL'!$B$6)^0.66</f>
        <v>69.94435473212027</v>
      </c>
      <c r="C8" s="47" t="s">
        <v>5</v>
      </c>
      <c r="H8" s="47">
        <v>4</v>
      </c>
      <c r="I8" s="50">
        <f>'Settings WL'!F20/('data WL'!$B$9/1000)</f>
        <v>-167.853938803113</v>
      </c>
      <c r="J8" s="50"/>
      <c r="K8" s="50">
        <f t="shared" si="0"/>
        <v>-167.853938803113</v>
      </c>
      <c r="L8" s="50">
        <f>'data WL'!AA8</f>
        <v>2945.275848220754</v>
      </c>
      <c r="M8" s="51">
        <f>'Settings WL'!D20/('Settings WL'!$B$6*L8)</f>
        <v>2.024754668782253E-06</v>
      </c>
      <c r="N8" s="51">
        <f>M8/(4.68*'Settings WL'!$B$6^-0.33)</f>
        <v>1.6707692307692316E-06</v>
      </c>
      <c r="O8" s="48">
        <f>'data WL'!$B$15/'data WL'!$B$16</f>
        <v>2.0833333333333335</v>
      </c>
      <c r="P8" s="48">
        <f>(('Settings WL'!$B$7/100)*(0.01*'data WL'!$B$7*2))/'data WL'!$B$15</f>
        <v>194.49469192193212</v>
      </c>
      <c r="Q8" s="48">
        <f t="shared" si="4"/>
        <v>15.178334431638902</v>
      </c>
      <c r="R8" s="48">
        <f>IF('Settings WL'!E20/'data WL'!$B$20*'data WL'!$B$19&lt;'data WL'!$B$18,'data WL'!$B$18,('Settings WL'!E20/'data WL'!$B$20*'data WL'!$B$19))</f>
        <v>0.8213619490193357</v>
      </c>
      <c r="S8" s="52">
        <f>(('data WL'!J8*('data WL'!$B$7*0.01)^2))/(R8*('data WL'!$B$23+'data WL'!$B$24*('data WL'!AF7)*'data WL'!$B$11))</f>
        <v>0</v>
      </c>
      <c r="T8" s="53">
        <f>0.622*EXP(6.414+((17.26*'Settings WL'!C20*'Settings WL'!B20/100)/(237.2+'Settings WL'!C20*'Settings WL'!B20/100)))/('data WL'!$B$21-EXP(6.414+((17.26*'Settings WL'!C20)/(237.2+'Settings WL'!C20))))</f>
        <v>0.016095114800355217</v>
      </c>
      <c r="U8" s="54">
        <f>1.005*'Settings WL'!C20+2500*'data WL'!T8+1.86*'data WL'!T8*'Settings WL'!C20</f>
        <v>79.35840233227141</v>
      </c>
      <c r="V8" s="47">
        <f t="shared" si="5"/>
        <v>0.027</v>
      </c>
      <c r="W8" s="48">
        <f t="shared" si="5"/>
        <v>8.428302605168172</v>
      </c>
      <c r="X8" s="48">
        <f>W8*0.01*'data WL'!$B$7/R8</f>
        <v>0.2494728603775404</v>
      </c>
      <c r="Y8" s="50">
        <f>EXP(6.414+(17.26*'data WL'!AI8)/(237.2+'data WL'!AI8))*((100-0)/100)</f>
        <v>6545.057440490566</v>
      </c>
      <c r="Z8" s="50">
        <f>EXP(6.414+(17.26*'Settings WL'!C20)/(237.2+'Settings WL'!C20))*(('Settings WL'!B20)/100)</f>
        <v>3599.7815922698114</v>
      </c>
      <c r="AA8" s="50">
        <f t="shared" si="1"/>
        <v>2945.275848220754</v>
      </c>
      <c r="AC8" s="48">
        <f>('data WL'!S8/6)*(1+(2*'data WL'!R8)/('data WL'!W8*'data WL'!$B$7*0.01))</f>
        <v>0</v>
      </c>
      <c r="AE8" s="48">
        <f>'Settings WL'!C20</f>
        <v>37.8</v>
      </c>
      <c r="AF8" s="48">
        <f t="shared" si="2"/>
        <v>0</v>
      </c>
      <c r="AG8" s="47">
        <f>(-'data WL'!N8*'data WL'!L8*'Settings WL'!D20/(24*60*60)*2.5*10^5)/'data WL'!V8</f>
        <v>-0.18869247558491126</v>
      </c>
      <c r="AH8" s="48">
        <f t="shared" si="3"/>
        <v>-0.18869247558491126</v>
      </c>
      <c r="AI8" s="48">
        <f>'data WL'!AC8+'Settings WL'!C20</f>
        <v>37.8</v>
      </c>
      <c r="AJ8" s="48">
        <f t="shared" si="6"/>
        <v>37.61130752441509</v>
      </c>
      <c r="AM8" s="28">
        <v>4</v>
      </c>
      <c r="AN8" s="28">
        <v>2.4957063034862514</v>
      </c>
      <c r="AO8" s="47">
        <f>'Settings WL'!E20+'Settings WL'!F20</f>
        <v>-7.800804044083254</v>
      </c>
    </row>
    <row r="9" spans="1:41" ht="12.75">
      <c r="A9" s="47" t="s">
        <v>7</v>
      </c>
      <c r="B9" s="48">
        <f>'Settings WL'!B6*B6/1000</f>
        <v>61.68</v>
      </c>
      <c r="C9" s="47" t="s">
        <v>8</v>
      </c>
      <c r="H9" s="47">
        <v>5</v>
      </c>
      <c r="I9" s="50">
        <f>'Settings WL'!F21/('data WL'!$B$9/1000)</f>
        <v>-167.853938803113</v>
      </c>
      <c r="J9" s="50"/>
      <c r="K9" s="50">
        <f t="shared" si="0"/>
        <v>-167.853938803113</v>
      </c>
      <c r="L9" s="50">
        <f>'data WL'!AA9</f>
        <v>2945.275848220754</v>
      </c>
      <c r="M9" s="51">
        <f>'Settings WL'!D21/('Settings WL'!$B$6*L9)</f>
        <v>2.024754668782253E-06</v>
      </c>
      <c r="N9" s="51">
        <f>M9/(4.68*'Settings WL'!$B$6^-0.33)</f>
        <v>1.6707692307692316E-06</v>
      </c>
      <c r="O9" s="48">
        <f>'data WL'!$B$15/'data WL'!$B$16</f>
        <v>2.0833333333333335</v>
      </c>
      <c r="P9" s="48">
        <f>(('Settings WL'!$B$7/100)*(0.01*'data WL'!$B$7*2))/'data WL'!$B$15</f>
        <v>194.49469192193212</v>
      </c>
      <c r="Q9" s="48">
        <f t="shared" si="4"/>
        <v>15.178334431638902</v>
      </c>
      <c r="R9" s="48">
        <f>IF('Settings WL'!E21/'data WL'!$B$20*'data WL'!$B$19&lt;'data WL'!$B$18,'data WL'!$B$18,('Settings WL'!E21/'data WL'!$B$20*'data WL'!$B$19))</f>
        <v>1.3302079364860775</v>
      </c>
      <c r="S9" s="52">
        <f>(('data WL'!J9*('data WL'!$B$7*0.01)^2))/(R9*('data WL'!$B$23+'data WL'!$B$24*('data WL'!AF8)*'data WL'!$B$11))</f>
        <v>0</v>
      </c>
      <c r="T9" s="53">
        <f>0.622*EXP(6.414+((17.26*'Settings WL'!C21*'Settings WL'!B21/100)/(237.2+'Settings WL'!C21*'Settings WL'!B21/100)))/('data WL'!$B$21-EXP(6.414+((17.26*'Settings WL'!C21)/(237.2+'Settings WL'!C21))))</f>
        <v>0.016095114800355217</v>
      </c>
      <c r="U9" s="54">
        <f>1.005*'Settings WL'!C21+2500*'data WL'!T9+1.86*'data WL'!T9*'Settings WL'!C21</f>
        <v>79.35840233227141</v>
      </c>
      <c r="V9" s="47">
        <f t="shared" si="5"/>
        <v>0.027</v>
      </c>
      <c r="W9" s="48">
        <f t="shared" si="5"/>
        <v>8.428302605168172</v>
      </c>
      <c r="X9" s="48">
        <f>W9*0.01*'data WL'!$B$7/R9</f>
        <v>0.1540417172434077</v>
      </c>
      <c r="Y9" s="50">
        <f>EXP(6.414+(17.26*'data WL'!AI9)/(237.2+'data WL'!AI9))*((100-0)/100)</f>
        <v>6545.057440490566</v>
      </c>
      <c r="Z9" s="50">
        <f>EXP(6.414+(17.26*'Settings WL'!C21)/(237.2+'Settings WL'!C21))*(('Settings WL'!B21)/100)</f>
        <v>3599.7815922698114</v>
      </c>
      <c r="AA9" s="50">
        <f t="shared" si="1"/>
        <v>2945.275848220754</v>
      </c>
      <c r="AC9" s="48">
        <f>('data WL'!S9/6)*(1+(2*'data WL'!R9)/('data WL'!W9*'data WL'!$B$7*0.01))</f>
        <v>0</v>
      </c>
      <c r="AE9" s="48">
        <f>'Settings WL'!C21</f>
        <v>37.8</v>
      </c>
      <c r="AF9" s="48">
        <f t="shared" si="2"/>
        <v>0</v>
      </c>
      <c r="AG9" s="47">
        <f>(-'data WL'!N9*'data WL'!L9*'Settings WL'!D21/(24*60*60)*2.5*10^5)/'data WL'!V9</f>
        <v>-0.18869247558491126</v>
      </c>
      <c r="AH9" s="48">
        <f t="shared" si="3"/>
        <v>-0.18869247558491126</v>
      </c>
      <c r="AI9" s="48">
        <f>'data WL'!AC9+'Settings WL'!C21</f>
        <v>37.8</v>
      </c>
      <c r="AJ9" s="48">
        <f t="shared" si="6"/>
        <v>37.61130752441509</v>
      </c>
      <c r="AM9" s="28">
        <v>5</v>
      </c>
      <c r="AN9" s="28">
        <v>4.041833610626138</v>
      </c>
      <c r="AO9" s="47">
        <f>'Settings WL'!E21+'Settings WL'!F21</f>
        <v>-6.2195374799629155</v>
      </c>
    </row>
    <row r="10" spans="8:41" ht="12.75">
      <c r="H10" s="47">
        <v>6</v>
      </c>
      <c r="I10" s="50">
        <f>'Settings WL'!F22/('data WL'!$B$9/1000)</f>
        <v>-167.853938803113</v>
      </c>
      <c r="J10" s="50"/>
      <c r="K10" s="50">
        <f t="shared" si="0"/>
        <v>-167.853938803113</v>
      </c>
      <c r="L10" s="50">
        <f>'data WL'!AA10</f>
        <v>2945.275848220754</v>
      </c>
      <c r="M10" s="51">
        <f>'Settings WL'!D22/('Settings WL'!$B$6*L10)</f>
        <v>2.024754668782253E-06</v>
      </c>
      <c r="N10" s="51">
        <f>M10/(4.68*'Settings WL'!$B$6^-0.33)</f>
        <v>1.6707692307692316E-06</v>
      </c>
      <c r="O10" s="48">
        <f>'data WL'!$B$15/'data WL'!$B$16</f>
        <v>2.0833333333333335</v>
      </c>
      <c r="P10" s="48">
        <f>(('Settings WL'!$B$7/100)*(0.01*'data WL'!$B$7*2))/'data WL'!$B$15</f>
        <v>194.49469192193212</v>
      </c>
      <c r="Q10" s="48">
        <f t="shared" si="4"/>
        <v>15.178334431638902</v>
      </c>
      <c r="R10" s="48">
        <f>IF('Settings WL'!E22/'data WL'!$B$20*'data WL'!$B$19&lt;'data WL'!$B$18,'data WL'!$B$18,('Settings WL'!E22/'data WL'!$B$20*'data WL'!$B$19))</f>
        <v>2.022160688737714</v>
      </c>
      <c r="S10" s="52">
        <f>(('data WL'!J10*('data WL'!$B$7*0.01)^2))/(R10*('data WL'!$B$23+'data WL'!$B$24*('data WL'!AF9)*'data WL'!$B$11))</f>
        <v>0</v>
      </c>
      <c r="T10" s="53">
        <f>0.622*EXP(6.414+((17.26*'Settings WL'!C22*'Settings WL'!B22/100)/(237.2+'Settings WL'!C22*'Settings WL'!B22/100)))/('data WL'!$B$21-EXP(6.414+((17.26*'Settings WL'!C22)/(237.2+'Settings WL'!C22))))</f>
        <v>0.016095114800355217</v>
      </c>
      <c r="U10" s="54">
        <f>1.005*'Settings WL'!C22+2500*'data WL'!T10+1.86*'data WL'!T10*'Settings WL'!C22</f>
        <v>79.35840233227141</v>
      </c>
      <c r="V10" s="47">
        <f t="shared" si="5"/>
        <v>0.027</v>
      </c>
      <c r="W10" s="48">
        <f t="shared" si="5"/>
        <v>8.428302605168172</v>
      </c>
      <c r="X10" s="48">
        <f>W10*0.01*'data WL'!$B$7/R10</f>
        <v>0.10133097531187488</v>
      </c>
      <c r="Y10" s="50">
        <f>EXP(6.414+(17.26*'data WL'!AI10)/(237.2+'data WL'!AI10))*((100-0)/100)</f>
        <v>6545.057440490566</v>
      </c>
      <c r="Z10" s="50">
        <f>EXP(6.414+(17.26*'Settings WL'!C22)/(237.2+'Settings WL'!C22))*(('Settings WL'!B22)/100)</f>
        <v>3599.7815922698114</v>
      </c>
      <c r="AA10" s="50">
        <f t="shared" si="1"/>
        <v>2945.275848220754</v>
      </c>
      <c r="AC10" s="48">
        <f>('data WL'!S10/6)*(1+(2*'data WL'!R10)/('data WL'!W10*'data WL'!$B$7*0.01))</f>
        <v>0</v>
      </c>
      <c r="AE10" s="48">
        <f>'Settings WL'!C22</f>
        <v>37.8</v>
      </c>
      <c r="AF10" s="48">
        <f t="shared" si="2"/>
        <v>0</v>
      </c>
      <c r="AG10" s="47">
        <f>(-'data WL'!N10*'data WL'!L10*'Settings WL'!D22/(24*60*60)*2.5*10^5)/'data WL'!V10</f>
        <v>-0.18869247558491126</v>
      </c>
      <c r="AH10" s="48">
        <f t="shared" si="3"/>
        <v>-0.18869247558491126</v>
      </c>
      <c r="AI10" s="48">
        <f>'data WL'!AC10+'Settings WL'!C22</f>
        <v>37.8</v>
      </c>
      <c r="AJ10" s="48">
        <f t="shared" si="6"/>
        <v>37.61130752441509</v>
      </c>
      <c r="AM10" s="28">
        <v>6</v>
      </c>
      <c r="AN10" s="28">
        <v>6.144330381472308</v>
      </c>
      <c r="AO10" s="47">
        <f>'Settings WL'!E22+'Settings WL'!F22</f>
        <v>-4.069256691597515</v>
      </c>
    </row>
    <row r="11" spans="1:41" ht="12.75">
      <c r="A11" s="47" t="s">
        <v>47</v>
      </c>
      <c r="B11" s="47">
        <v>1</v>
      </c>
      <c r="C11" s="47" t="s">
        <v>53</v>
      </c>
      <c r="H11" s="47">
        <v>7</v>
      </c>
      <c r="I11" s="50">
        <f>'Settings WL'!F23/('data WL'!$B$9/1000)</f>
        <v>-167.853938803113</v>
      </c>
      <c r="J11" s="50"/>
      <c r="K11" s="50">
        <f t="shared" si="0"/>
        <v>-167.853938803113</v>
      </c>
      <c r="L11" s="50">
        <f>'data WL'!AA11</f>
        <v>2945.275848220754</v>
      </c>
      <c r="M11" s="51">
        <f>'Settings WL'!D23/('Settings WL'!$B$6*L11)</f>
        <v>2.024754668782253E-06</v>
      </c>
      <c r="N11" s="51">
        <f>M11/(4.68*'Settings WL'!$B$6^-0.33)</f>
        <v>1.6707692307692316E-06</v>
      </c>
      <c r="O11" s="48">
        <f>'data WL'!$B$15/'data WL'!$B$16</f>
        <v>2.0833333333333335</v>
      </c>
      <c r="P11" s="48">
        <f>(('Settings WL'!$B$7/100)*(0.01*'data WL'!$B$7*2))/'data WL'!$B$15</f>
        <v>194.49469192193212</v>
      </c>
      <c r="Q11" s="48">
        <f t="shared" si="4"/>
        <v>15.178334431638902</v>
      </c>
      <c r="R11" s="48">
        <f>IF('Settings WL'!E23/'data WL'!$B$20*'data WL'!$B$19&lt;'data WL'!$B$18,'data WL'!$B$18,('Settings WL'!E23/'data WL'!$B$20*'data WL'!$B$19))</f>
        <v>2.5916608564595256</v>
      </c>
      <c r="S11" s="52">
        <f>(('data WL'!J11*('data WL'!$B$7*0.01)^2))/(R11*('data WL'!$B$23+'data WL'!$B$24*('data WL'!AF10)*'data WL'!$B$11))</f>
        <v>0</v>
      </c>
      <c r="T11" s="53">
        <f>0.622*EXP(6.414+((17.26*'Settings WL'!C23*'Settings WL'!B23/100)/(237.2+'Settings WL'!C23*'Settings WL'!B23/100)))/('data WL'!$B$21-EXP(6.414+((17.26*'Settings WL'!C23)/(237.2+'Settings WL'!C23))))</f>
        <v>0.016095114800355217</v>
      </c>
      <c r="U11" s="54">
        <f>1.005*'Settings WL'!C23+2500*'data WL'!T11+1.86*'data WL'!T11*'Settings WL'!C23</f>
        <v>79.35840233227141</v>
      </c>
      <c r="V11" s="47">
        <f t="shared" si="5"/>
        <v>0.027</v>
      </c>
      <c r="W11" s="48">
        <f t="shared" si="5"/>
        <v>8.428302605168172</v>
      </c>
      <c r="X11" s="48">
        <f>W11*0.01*'data WL'!$B$7/R11</f>
        <v>0.07906417011176758</v>
      </c>
      <c r="Y11" s="50">
        <f>EXP(6.414+(17.26*'data WL'!AI11)/(237.2+'data WL'!AI11))*((100-0)/100)</f>
        <v>6545.057440490566</v>
      </c>
      <c r="Z11" s="50">
        <f>EXP(6.414+(17.26*'Settings WL'!C23)/(237.2+'Settings WL'!C23))*(('Settings WL'!B23)/100)</f>
        <v>3599.7815922698114</v>
      </c>
      <c r="AA11" s="50">
        <f t="shared" si="1"/>
        <v>2945.275848220754</v>
      </c>
      <c r="AC11" s="48">
        <f>('data WL'!S11/6)*(1+(2*'data WL'!R11)/('data WL'!W11*'data WL'!$B$7*0.01))</f>
        <v>0</v>
      </c>
      <c r="AE11" s="48">
        <f>'Settings WL'!C23</f>
        <v>37.8</v>
      </c>
      <c r="AF11" s="48">
        <f t="shared" si="2"/>
        <v>0</v>
      </c>
      <c r="AG11" s="47">
        <f>(-'data WL'!N11*'data WL'!L11*'Settings WL'!D23/(24*60*60)*2.5*10^5)/'data WL'!V11</f>
        <v>-0.18869247558491126</v>
      </c>
      <c r="AH11" s="48">
        <f t="shared" si="3"/>
        <v>-0.18869247558491126</v>
      </c>
      <c r="AI11" s="48">
        <f>'data WL'!AC11+'Settings WL'!C23</f>
        <v>37.8</v>
      </c>
      <c r="AJ11" s="48">
        <f t="shared" si="6"/>
        <v>37.61130752441509</v>
      </c>
      <c r="AM11" s="28">
        <v>7</v>
      </c>
      <c r="AN11" s="28">
        <v>7.874755269205139</v>
      </c>
      <c r="AO11" s="47">
        <f>'Settings WL'!E23+'Settings WL'!F23</f>
        <v>-2.299503965507119</v>
      </c>
    </row>
    <row r="12" spans="8:41" ht="12.75">
      <c r="H12" s="47">
        <v>8</v>
      </c>
      <c r="I12" s="50">
        <f>'Settings WL'!F24/('data WL'!$B$9/1000)</f>
        <v>-167.853938803113</v>
      </c>
      <c r="J12" s="50"/>
      <c r="K12" s="50">
        <f t="shared" si="0"/>
        <v>-167.853938803113</v>
      </c>
      <c r="L12" s="50">
        <f>'data WL'!AA12</f>
        <v>2945.275848220754</v>
      </c>
      <c r="M12" s="51">
        <f>'Settings WL'!D24/('Settings WL'!$B$6*L12)</f>
        <v>2.024754668782253E-06</v>
      </c>
      <c r="N12" s="51">
        <f>M12/(4.68*'Settings WL'!$B$6^-0.33)</f>
        <v>1.6707692307692316E-06</v>
      </c>
      <c r="O12" s="48">
        <f>'data WL'!$B$15/'data WL'!$B$16</f>
        <v>2.0833333333333335</v>
      </c>
      <c r="P12" s="48">
        <f>(('Settings WL'!$B$7/100)*(0.01*'data WL'!$B$7*2))/'data WL'!$B$15</f>
        <v>194.49469192193212</v>
      </c>
      <c r="Q12" s="48">
        <f t="shared" si="4"/>
        <v>15.178334431638902</v>
      </c>
      <c r="R12" s="48">
        <f>IF('Settings WL'!E24/'data WL'!$B$20*'data WL'!$B$19&lt;'data WL'!$B$18,'data WL'!$B$18,('Settings WL'!E24/'data WL'!$B$20*'data WL'!$B$19))</f>
        <v>3.6721918066680703</v>
      </c>
      <c r="S12" s="52">
        <f>(('data WL'!J12*('data WL'!$B$7*0.01)^2))/(R12*('data WL'!$B$23+'data WL'!$B$24*('data WL'!AF11)*'data WL'!$B$11))</f>
        <v>0</v>
      </c>
      <c r="T12" s="53">
        <f>0.622*EXP(6.414+((17.26*'Settings WL'!C24*'Settings WL'!B24/100)/(237.2+'Settings WL'!C24*'Settings WL'!B24/100)))/('data WL'!$B$21-EXP(6.414+((17.26*'Settings WL'!C24)/(237.2+'Settings WL'!C24))))</f>
        <v>0.016095114800355217</v>
      </c>
      <c r="U12" s="54">
        <f>1.005*'Settings WL'!C24+2500*'data WL'!T12+1.86*'data WL'!T12*'Settings WL'!C24</f>
        <v>79.35840233227141</v>
      </c>
      <c r="V12" s="47">
        <f t="shared" si="5"/>
        <v>0.027</v>
      </c>
      <c r="W12" s="48">
        <f t="shared" si="5"/>
        <v>8.428302605168172</v>
      </c>
      <c r="X12" s="48">
        <f>W12*0.01*'data WL'!$B$7/R12</f>
        <v>0.05579978541835649</v>
      </c>
      <c r="Y12" s="50">
        <f>EXP(6.414+(17.26*'data WL'!AI12)/(237.2+'data WL'!AI12))*((100-0)/100)</f>
        <v>6545.057440490566</v>
      </c>
      <c r="Z12" s="50">
        <f>EXP(6.414+(17.26*'Settings WL'!C24)/(237.2+'Settings WL'!C24))*(('Settings WL'!B24)/100)</f>
        <v>3599.7815922698114</v>
      </c>
      <c r="AA12" s="50">
        <f t="shared" si="1"/>
        <v>2945.275848220754</v>
      </c>
      <c r="AC12" s="48">
        <f>('data WL'!S12/6)*(1+(2*'data WL'!R12)/('data WL'!W12*'data WL'!$B$7*0.01))</f>
        <v>0</v>
      </c>
      <c r="AE12" s="48">
        <f>'Settings WL'!C24</f>
        <v>37.8</v>
      </c>
      <c r="AF12" s="48">
        <f t="shared" si="2"/>
        <v>0</v>
      </c>
      <c r="AG12" s="47">
        <f>(-'data WL'!N12*'data WL'!L12*'Settings WL'!D24/(24*60*60)*2.5*10^5)/'data WL'!V12</f>
        <v>-0.18869247558491126</v>
      </c>
      <c r="AH12" s="48">
        <f t="shared" si="3"/>
        <v>-0.18869247558491126</v>
      </c>
      <c r="AI12" s="48">
        <f>'data WL'!AC12+'Settings WL'!C24</f>
        <v>37.8</v>
      </c>
      <c r="AJ12" s="48">
        <f t="shared" si="6"/>
        <v>37.61130752441509</v>
      </c>
      <c r="AM12" s="28">
        <v>8</v>
      </c>
      <c r="AN12" s="28">
        <v>11.157945958483065</v>
      </c>
      <c r="AO12" s="47">
        <f>'Settings WL'!E24+'Settings WL'!F24</f>
        <v>1.0583046939816683</v>
      </c>
    </row>
    <row r="13" spans="5:41" ht="12.75">
      <c r="E13" s="55" t="s">
        <v>33</v>
      </c>
      <c r="H13" s="47">
        <v>9</v>
      </c>
      <c r="I13" s="50">
        <f>'Settings WL'!F25/('data WL'!$B$9/1000)</f>
        <v>-167.853938803113</v>
      </c>
      <c r="J13" s="50"/>
      <c r="K13" s="50">
        <f t="shared" si="0"/>
        <v>-167.853938803113</v>
      </c>
      <c r="L13" s="50">
        <f>'data WL'!AA13</f>
        <v>2945.275848220754</v>
      </c>
      <c r="M13" s="51">
        <f>'Settings WL'!D25/('Settings WL'!$B$6*L13)</f>
        <v>2.024754668782253E-06</v>
      </c>
      <c r="N13" s="51">
        <f>M13/(4.68*'Settings WL'!$B$6^-0.33)</f>
        <v>1.6707692307692316E-06</v>
      </c>
      <c r="O13" s="48">
        <f>'data WL'!$B$15/'data WL'!$B$16</f>
        <v>2.0833333333333335</v>
      </c>
      <c r="P13" s="48">
        <f>(('Settings WL'!$B$7/100)*(0.01*'data WL'!$B$7*2))/'data WL'!$B$15</f>
        <v>194.49469192193212</v>
      </c>
      <c r="Q13" s="48">
        <f t="shared" si="4"/>
        <v>15.178334431638902</v>
      </c>
      <c r="R13" s="48">
        <f>IF('Settings WL'!E25/'data WL'!$B$20*'data WL'!$B$19&lt;'data WL'!$B$18,'data WL'!$B$18,('Settings WL'!E25/'data WL'!$B$20*'data WL'!$B$19))</f>
        <v>5.066426457088088</v>
      </c>
      <c r="S13" s="52">
        <f>(('data WL'!J13*('data WL'!$B$7*0.01)^2))/(R13*('data WL'!$B$23+'data WL'!$B$24*('data WL'!AF12)*'data WL'!$B$11))</f>
        <v>0</v>
      </c>
      <c r="T13" s="53">
        <f>0.622*EXP(6.414+((17.26*'Settings WL'!C25*'Settings WL'!B25/100)/(237.2+'Settings WL'!C25*'Settings WL'!B25/100)))/('data WL'!$B$21-EXP(6.414+((17.26*'Settings WL'!C25)/(237.2+'Settings WL'!C25))))</f>
        <v>0.016095114800355217</v>
      </c>
      <c r="U13" s="54">
        <f>1.005*'Settings WL'!C25+2500*'data WL'!T13+1.86*'data WL'!T13*'Settings WL'!C25</f>
        <v>79.35840233227141</v>
      </c>
      <c r="V13" s="47">
        <f t="shared" si="5"/>
        <v>0.027</v>
      </c>
      <c r="W13" s="48">
        <f t="shared" si="5"/>
        <v>8.428302605168172</v>
      </c>
      <c r="X13" s="48">
        <f>W13*0.01*'data WL'!$B$7/R13</f>
        <v>0.040444190113616114</v>
      </c>
      <c r="Y13" s="50">
        <f>EXP(6.414+(17.26*'data WL'!AI13)/(237.2+'data WL'!AI13))*((100-0)/100)</f>
        <v>6545.057440490566</v>
      </c>
      <c r="Z13" s="50">
        <f>EXP(6.414+(17.26*'Settings WL'!C25)/(237.2+'Settings WL'!C25))*(('Settings WL'!B25)/100)</f>
        <v>3599.7815922698114</v>
      </c>
      <c r="AA13" s="50">
        <f t="shared" si="1"/>
        <v>2945.275848220754</v>
      </c>
      <c r="AC13" s="48">
        <f>('data WL'!S13/6)*(1+(2*'data WL'!R13)/('data WL'!W13*'data WL'!$B$7*0.01))</f>
        <v>0</v>
      </c>
      <c r="AE13" s="48">
        <f>'Settings WL'!C25</f>
        <v>37.8</v>
      </c>
      <c r="AF13" s="48">
        <f t="shared" si="2"/>
        <v>0</v>
      </c>
      <c r="AG13" s="47">
        <f>(-'data WL'!N13*'data WL'!L13*'Settings WL'!D25/(24*60*60)*2.5*10^5)/'data WL'!V13</f>
        <v>-0.18869247558491126</v>
      </c>
      <c r="AH13" s="48">
        <f t="shared" si="3"/>
        <v>-0.18869247558491126</v>
      </c>
      <c r="AI13" s="48">
        <f>'data WL'!AC13+'Settings WL'!C25</f>
        <v>37.8</v>
      </c>
      <c r="AJ13" s="48">
        <f t="shared" si="6"/>
        <v>37.61130752441509</v>
      </c>
      <c r="AM13" s="28">
        <v>9</v>
      </c>
      <c r="AN13" s="28">
        <v>15.394324585161172</v>
      </c>
      <c r="AO13" s="47">
        <f>'Settings WL'!E25+'Settings WL'!F25</f>
        <v>5.39096465308428</v>
      </c>
    </row>
    <row r="14" spans="1:41" ht="12.75">
      <c r="A14" s="47" t="s">
        <v>14</v>
      </c>
      <c r="B14" s="47">
        <v>0.905</v>
      </c>
      <c r="C14" s="47">
        <f>B14*10^-10*'Settings WL'!$B$6^-0.33</f>
        <v>2.343466051831311E-11</v>
      </c>
      <c r="D14" s="47" t="s">
        <v>12</v>
      </c>
      <c r="H14" s="47">
        <v>10</v>
      </c>
      <c r="I14" s="50">
        <f>'Settings WL'!F26/('data WL'!$B$9/1000)</f>
        <v>-167.853938803113</v>
      </c>
      <c r="J14" s="50"/>
      <c r="K14" s="50">
        <f t="shared" si="0"/>
        <v>-167.853938803113</v>
      </c>
      <c r="L14" s="50">
        <f>'data WL'!AA14</f>
        <v>2945.275848220754</v>
      </c>
      <c r="M14" s="51">
        <f>'Settings WL'!D26/('Settings WL'!$B$6*L14)</f>
        <v>2.024754668782253E-06</v>
      </c>
      <c r="N14" s="51">
        <f>M14/(4.68*'Settings WL'!$B$6^-0.33)</f>
        <v>1.6707692307692316E-06</v>
      </c>
      <c r="O14" s="48">
        <f>'data WL'!$B$15/'data WL'!$B$16</f>
        <v>2.0833333333333335</v>
      </c>
      <c r="P14" s="48">
        <f>(('Settings WL'!$B$7/100)*(0.01*'data WL'!$B$7*2))/'data WL'!$B$15</f>
        <v>194.49469192193212</v>
      </c>
      <c r="Q14" s="48">
        <f t="shared" si="4"/>
        <v>15.178334431638902</v>
      </c>
      <c r="R14" s="48">
        <f>IF('Settings WL'!E26/'data WL'!$B$20*'data WL'!$B$19&lt;'data WL'!$B$18,'data WL'!$B$18,('Settings WL'!E26/'data WL'!$B$20*'data WL'!$B$19))</f>
        <v>7.090836817294252</v>
      </c>
      <c r="S14" s="52">
        <f>(('data WL'!J14*('data WL'!$B$7*0.01)^2))/(R14*('data WL'!$B$23+'data WL'!$B$24*('data WL'!AF13)*'data WL'!$B$11))</f>
        <v>0</v>
      </c>
      <c r="T14" s="53">
        <f>0.622*EXP(6.414+((17.26*'Settings WL'!C26*'Settings WL'!B26/100)/(237.2+'Settings WL'!C26*'Settings WL'!B26/100)))/('data WL'!$B$21-EXP(6.414+((17.26*'Settings WL'!C26)/(237.2+'Settings WL'!C26))))</f>
        <v>0.016095114800355217</v>
      </c>
      <c r="U14" s="54">
        <f>1.005*'Settings WL'!C26+2500*'data WL'!T14+1.86*'data WL'!T14*'Settings WL'!C26</f>
        <v>79.35840233227141</v>
      </c>
      <c r="V14" s="47">
        <f t="shared" si="5"/>
        <v>0.027</v>
      </c>
      <c r="W14" s="48">
        <f t="shared" si="5"/>
        <v>8.428302605168172</v>
      </c>
      <c r="X14" s="48">
        <f>W14*0.01*'data WL'!$B$7/R14</f>
        <v>0.028897508165378224</v>
      </c>
      <c r="Y14" s="50">
        <f>EXP(6.414+(17.26*'data WL'!AI14)/(237.2+'data WL'!AI14))*((100-0)/100)</f>
        <v>6545.057440490566</v>
      </c>
      <c r="Z14" s="50">
        <f>EXP(6.414+(17.26*'Settings WL'!C26)/(237.2+'Settings WL'!C26))*(('Settings WL'!B26)/100)</f>
        <v>3599.7815922698114</v>
      </c>
      <c r="AA14" s="50">
        <f t="shared" si="1"/>
        <v>2945.275848220754</v>
      </c>
      <c r="AC14" s="48">
        <f>('data WL'!S14/6)*(1+(2*'data WL'!R14)/('data WL'!W14*'data WL'!$B$7*0.01))</f>
        <v>0</v>
      </c>
      <c r="AE14" s="48">
        <f>'Settings WL'!C26</f>
        <v>37.8</v>
      </c>
      <c r="AF14" s="48">
        <f t="shared" si="2"/>
        <v>0</v>
      </c>
      <c r="AG14" s="47">
        <f>(-'data WL'!N14*'data WL'!L14*'Settings WL'!D26/(24*60*60)*2.5*10^5)/'data WL'!V14</f>
        <v>-0.18869247558491126</v>
      </c>
      <c r="AH14" s="48">
        <f t="shared" si="3"/>
        <v>-0.18869247558491126</v>
      </c>
      <c r="AI14" s="48">
        <f>'data WL'!AC14+'Settings WL'!C26</f>
        <v>37.8</v>
      </c>
      <c r="AJ14" s="48">
        <f t="shared" si="6"/>
        <v>37.61130752441509</v>
      </c>
      <c r="AM14" s="28">
        <v>10</v>
      </c>
      <c r="AN14" s="28">
        <v>21.545490587971052</v>
      </c>
      <c r="AO14" s="47">
        <f>'Settings WL'!E26+'Settings WL'!F26</f>
        <v>11.681929883230746</v>
      </c>
    </row>
    <row r="15" spans="1:41" ht="12.75">
      <c r="A15" s="47" t="s">
        <v>20</v>
      </c>
      <c r="B15" s="47">
        <f>2.5*10^-5</f>
        <v>2.5E-05</v>
      </c>
      <c r="C15" s="47" t="s">
        <v>19</v>
      </c>
      <c r="H15" s="47">
        <v>11</v>
      </c>
      <c r="I15" s="50">
        <f>'Settings WL'!F27/('data WL'!$B$9/1000)</f>
        <v>-167.853938803113</v>
      </c>
      <c r="J15" s="50"/>
      <c r="K15" s="50">
        <f t="shared" si="0"/>
        <v>-167.853938803113</v>
      </c>
      <c r="L15" s="50">
        <f>'data WL'!AA15</f>
        <v>2945.275848220754</v>
      </c>
      <c r="M15" s="51">
        <f>'Settings WL'!D27/('Settings WL'!$B$6*L15)</f>
        <v>2.024754668782253E-06</v>
      </c>
      <c r="N15" s="51">
        <f>M15/(4.68*'Settings WL'!$B$6^-0.33)</f>
        <v>1.6707692307692316E-06</v>
      </c>
      <c r="O15" s="48">
        <f>'data WL'!$B$15/'data WL'!$B$16</f>
        <v>2.0833333333333335</v>
      </c>
      <c r="P15" s="48">
        <f>(('Settings WL'!$B$7/100)*(0.01*'data WL'!$B$7*2))/'data WL'!$B$15</f>
        <v>194.49469192193212</v>
      </c>
      <c r="Q15" s="48">
        <f t="shared" si="4"/>
        <v>15.178334431638902</v>
      </c>
      <c r="R15" s="48">
        <f>IF('Settings WL'!E27/'data WL'!$B$20*'data WL'!$B$19&lt;'data WL'!$B$18,'data WL'!$B$18,('Settings WL'!E27/'data WL'!$B$20*'data WL'!$B$19))</f>
        <v>9.817647351941302</v>
      </c>
      <c r="S15" s="52">
        <f>(('data WL'!J15*('data WL'!$B$7*0.01)^2))/(R15*('data WL'!$B$23+'data WL'!$B$24*('data WL'!AF14)*'data WL'!$B$11))</f>
        <v>0</v>
      </c>
      <c r="T15" s="53">
        <f>0.622*EXP(6.414+((17.26*'Settings WL'!C27*'Settings WL'!B27/100)/(237.2+'Settings WL'!C27*'Settings WL'!B27/100)))/('data WL'!$B$21-EXP(6.414+((17.26*'Settings WL'!C27)/(237.2+'Settings WL'!C27))))</f>
        <v>0.016095114800355217</v>
      </c>
      <c r="U15" s="54">
        <f>1.005*'Settings WL'!C27+2500*'data WL'!T15+1.86*'data WL'!T15*'Settings WL'!C27</f>
        <v>79.35840233227141</v>
      </c>
      <c r="V15" s="47">
        <f t="shared" si="5"/>
        <v>0.027</v>
      </c>
      <c r="W15" s="48">
        <f t="shared" si="5"/>
        <v>8.428302605168172</v>
      </c>
      <c r="X15" s="48">
        <f>W15*0.01*'data WL'!$B$7/R15</f>
        <v>0.02087134600394947</v>
      </c>
      <c r="Y15" s="50">
        <f>EXP(6.414+(17.26*'data WL'!AI15)/(237.2+'data WL'!AI15))*((100-0)/100)</f>
        <v>6545.057440490566</v>
      </c>
      <c r="Z15" s="50">
        <f>EXP(6.414+(17.26*'Settings WL'!C27)/(237.2+'Settings WL'!C27))*(('Settings WL'!B27)/100)</f>
        <v>3599.7815922698114</v>
      </c>
      <c r="AA15" s="50">
        <f t="shared" si="1"/>
        <v>2945.275848220754</v>
      </c>
      <c r="AC15" s="48">
        <f>('data WL'!S15/6)*(1+(2*'data WL'!R15)/('data WL'!W15*'data WL'!$B$7*0.01))</f>
        <v>0</v>
      </c>
      <c r="AE15" s="48">
        <f>'Settings WL'!C27</f>
        <v>37.8</v>
      </c>
      <c r="AF15" s="48">
        <f t="shared" si="2"/>
        <v>0</v>
      </c>
      <c r="AG15" s="47">
        <f>(-'data WL'!N15*'data WL'!L15*'Settings WL'!D27/(24*60*60)*2.5*10^5)/'data WL'!V15</f>
        <v>-0.18869247558491126</v>
      </c>
      <c r="AH15" s="48">
        <f t="shared" si="3"/>
        <v>-0.18869247558491126</v>
      </c>
      <c r="AI15" s="48">
        <f>'data WL'!AC15+'Settings WL'!C27</f>
        <v>37.8</v>
      </c>
      <c r="AJ15" s="48">
        <f t="shared" si="6"/>
        <v>37.61130752441509</v>
      </c>
      <c r="AM15" s="28">
        <v>11</v>
      </c>
      <c r="AN15" s="28">
        <v>29.83089782878195</v>
      </c>
      <c r="AO15" s="47">
        <f>'Settings WL'!E27+'Settings WL'!F27</f>
        <v>20.155641834060077</v>
      </c>
    </row>
    <row r="16" spans="1:41" ht="12.75">
      <c r="A16" s="47" t="s">
        <v>18</v>
      </c>
      <c r="B16" s="47">
        <f>1.2*10^-5</f>
        <v>1.2E-05</v>
      </c>
      <c r="C16" s="47" t="s">
        <v>19</v>
      </c>
      <c r="H16" s="47">
        <v>12</v>
      </c>
      <c r="I16" s="50">
        <f>'Settings WL'!F28/('data WL'!$B$9/1000)</f>
        <v>-167.853938803113</v>
      </c>
      <c r="J16" s="50"/>
      <c r="K16" s="50">
        <f t="shared" si="0"/>
        <v>-167.853938803113</v>
      </c>
      <c r="L16" s="50">
        <f>'data WL'!AA16</f>
        <v>2945.275848220754</v>
      </c>
      <c r="M16" s="51">
        <f>'Settings WL'!D28/('Settings WL'!$B$6*L16)</f>
        <v>2.024754668782253E-06</v>
      </c>
      <c r="N16" s="51">
        <f>M16/(4.68*'Settings WL'!$B$6^-0.33)</f>
        <v>1.6707692307692316E-06</v>
      </c>
      <c r="O16" s="48">
        <f>'data WL'!$B$15/'data WL'!$B$16</f>
        <v>2.0833333333333335</v>
      </c>
      <c r="P16" s="48">
        <f>(('Settings WL'!$B$7/100)*(0.01*'data WL'!$B$7*2))/'data WL'!$B$15</f>
        <v>194.49469192193212</v>
      </c>
      <c r="Q16" s="48">
        <f t="shared" si="4"/>
        <v>15.178334431638902</v>
      </c>
      <c r="R16" s="48">
        <f>IF('Settings WL'!E28/'data WL'!$B$20*'data WL'!$B$19&lt;'data WL'!$B$18,'data WL'!$B$18,('Settings WL'!E28/'data WL'!$B$20*'data WL'!$B$19))</f>
        <v>14.92169664363591</v>
      </c>
      <c r="S16" s="52">
        <f>(('data WL'!J16*('data WL'!$B$7*0.01)^2))/(R16*('data WL'!$B$23+'data WL'!$B$24*('data WL'!AF15)*'data WL'!$B$11))</f>
        <v>0</v>
      </c>
      <c r="T16" s="53">
        <f>0.622*EXP(6.414+((17.26*'Settings WL'!C28*'Settings WL'!B28/100)/(237.2+'Settings WL'!C28*'Settings WL'!B28/100)))/('data WL'!$B$21-EXP(6.414+((17.26*'Settings WL'!C28)/(237.2+'Settings WL'!C28))))</f>
        <v>0.016095114800355217</v>
      </c>
      <c r="U16" s="54">
        <f>1.005*'Settings WL'!C28+2500*'data WL'!T16+1.86*'data WL'!T16*'Settings WL'!C28</f>
        <v>79.35840233227141</v>
      </c>
      <c r="V16" s="47">
        <f t="shared" si="5"/>
        <v>0.027</v>
      </c>
      <c r="W16" s="48">
        <f t="shared" si="5"/>
        <v>8.428302605168172</v>
      </c>
      <c r="X16" s="48">
        <f>W16*0.01*'data WL'!$B$7/R16</f>
        <v>0.013732186072454305</v>
      </c>
      <c r="Y16" s="50">
        <f>EXP(6.414+(17.26*'data WL'!AI16)/(237.2+'data WL'!AI16))*((100-0)/100)</f>
        <v>6545.057440490566</v>
      </c>
      <c r="Z16" s="50">
        <f>EXP(6.414+(17.26*'Settings WL'!C28)/(237.2+'Settings WL'!C28))*(('Settings WL'!B28)/100)</f>
        <v>3599.7815922698114</v>
      </c>
      <c r="AA16" s="50">
        <f t="shared" si="1"/>
        <v>2945.275848220754</v>
      </c>
      <c r="AC16" s="48">
        <f>('data WL'!S16/6)*(1+(2*'data WL'!R16)/('data WL'!W16*'data WL'!$B$7*0.01))</f>
        <v>0</v>
      </c>
      <c r="AE16" s="48">
        <f>'Settings WL'!C28</f>
        <v>37.8</v>
      </c>
      <c r="AF16" s="48">
        <f t="shared" si="2"/>
        <v>0</v>
      </c>
      <c r="AG16" s="47">
        <f>(-'data WL'!N16*'data WL'!L16*'Settings WL'!D28/(24*60*60)*2.5*10^5)/'data WL'!V16</f>
        <v>-0.18869247558491126</v>
      </c>
      <c r="AH16" s="48">
        <f t="shared" si="3"/>
        <v>-0.18869247558491126</v>
      </c>
      <c r="AI16" s="48">
        <f>'data WL'!AC16+'Settings WL'!C28</f>
        <v>37.8</v>
      </c>
      <c r="AJ16" s="48">
        <f t="shared" si="6"/>
        <v>37.61130752441509</v>
      </c>
      <c r="AM16" s="28">
        <v>12</v>
      </c>
      <c r="AN16" s="28">
        <v>45.339539306264015</v>
      </c>
      <c r="AO16" s="47">
        <f>'Settings WL'!E28+'Settings WL'!F28</f>
        <v>36.01675243603036</v>
      </c>
    </row>
    <row r="17" spans="1:41" ht="12.75">
      <c r="A17" s="47" t="s">
        <v>21</v>
      </c>
      <c r="B17" s="47">
        <v>0.027</v>
      </c>
      <c r="C17" s="47" t="s">
        <v>22</v>
      </c>
      <c r="H17" s="47">
        <v>13</v>
      </c>
      <c r="I17" s="50">
        <f>'Settings WL'!F29/('data WL'!$B$9/1000)</f>
        <v>-167.853938803113</v>
      </c>
      <c r="J17" s="50"/>
      <c r="K17" s="50">
        <f t="shared" si="0"/>
        <v>-167.853938803113</v>
      </c>
      <c r="L17" s="50">
        <f>'data WL'!AA17</f>
        <v>2945.275848220754</v>
      </c>
      <c r="M17" s="51">
        <f>'Settings WL'!D29/('Settings WL'!$B$6*L17)</f>
        <v>2.024754668782253E-06</v>
      </c>
      <c r="N17" s="51">
        <f>M17/(4.68*'Settings WL'!$B$6^-0.33)</f>
        <v>1.6707692307692316E-06</v>
      </c>
      <c r="O17" s="48">
        <f>'data WL'!$B$15/'data WL'!$B$16</f>
        <v>2.0833333333333335</v>
      </c>
      <c r="P17" s="48">
        <f>(('Settings WL'!$B$7/100)*(0.01*'data WL'!$B$7*2))/'data WL'!$B$15</f>
        <v>194.49469192193212</v>
      </c>
      <c r="Q17" s="48">
        <f t="shared" si="4"/>
        <v>15.178334431638902</v>
      </c>
      <c r="R17" s="48">
        <f>IF('Settings WL'!E29/'data WL'!$B$20*'data WL'!$B$19&lt;'data WL'!$B$18,'data WL'!$B$18,('Settings WL'!E29/'data WL'!$B$20*'data WL'!$B$19))</f>
        <v>21.958281471486607</v>
      </c>
      <c r="S17" s="52">
        <f>(('data WL'!J17*('data WL'!$B$7*0.01)^2))/(R17*('data WL'!$B$23+'data WL'!$B$24*('data WL'!AF16)*'data WL'!$B$11))</f>
        <v>0</v>
      </c>
      <c r="T17" s="53">
        <f>0.622*EXP(6.414+((17.26*'Settings WL'!C29*'Settings WL'!B29/100)/(237.2+'Settings WL'!C29*'Settings WL'!B29/100)))/('data WL'!$B$21-EXP(6.414+((17.26*'Settings WL'!C29)/(237.2+'Settings WL'!C29))))</f>
        <v>0.016095114800355217</v>
      </c>
      <c r="U17" s="54">
        <f>1.005*'Settings WL'!C29+2500*'data WL'!T17+1.86*'data WL'!T17*'Settings WL'!C29</f>
        <v>79.35840233227141</v>
      </c>
      <c r="V17" s="47">
        <f t="shared" si="5"/>
        <v>0.027</v>
      </c>
      <c r="W17" s="48">
        <f t="shared" si="5"/>
        <v>8.428302605168172</v>
      </c>
      <c r="X17" s="48">
        <f>W17*0.01*'data WL'!$B$7/R17</f>
        <v>0.009331673568954058</v>
      </c>
      <c r="Y17" s="50">
        <f>EXP(6.414+(17.26*'data WL'!AI17)/(237.2+'data WL'!AI17))*((100-0)/100)</f>
        <v>6545.057440490566</v>
      </c>
      <c r="Z17" s="50">
        <f>EXP(6.414+(17.26*'Settings WL'!C29)/(237.2+'Settings WL'!C29))*(('Settings WL'!B29)/100)</f>
        <v>3599.7815922698114</v>
      </c>
      <c r="AA17" s="50">
        <f t="shared" si="1"/>
        <v>2945.275848220754</v>
      </c>
      <c r="AC17" s="48">
        <f>('data WL'!S17/6)*(1+(2*'data WL'!R17)/('data WL'!W17*'data WL'!$B$7*0.01))</f>
        <v>0</v>
      </c>
      <c r="AE17" s="48">
        <f>'Settings WL'!C29</f>
        <v>37.8</v>
      </c>
      <c r="AF17" s="48">
        <f t="shared" si="2"/>
        <v>0</v>
      </c>
      <c r="AG17" s="47">
        <f>(-'data WL'!N17*'data WL'!L17*'Settings WL'!D29/(24*60*60)*2.5*10^5)/'data WL'!V17</f>
        <v>-0.18869247558491126</v>
      </c>
      <c r="AH17" s="48">
        <f t="shared" si="3"/>
        <v>-0.18869247558491126</v>
      </c>
      <c r="AI17" s="48">
        <f>'data WL'!AC17+'Settings WL'!C29</f>
        <v>37.8</v>
      </c>
      <c r="AJ17" s="48">
        <f t="shared" si="6"/>
        <v>37.61130752441509</v>
      </c>
      <c r="AM17" s="28">
        <v>13</v>
      </c>
      <c r="AN17" s="28">
        <v>66.72018535500042</v>
      </c>
      <c r="AO17" s="47">
        <f>'Settings WL'!E29+'Settings WL'!F29</f>
        <v>57.883322258601694</v>
      </c>
    </row>
    <row r="18" spans="1:41" ht="12.75">
      <c r="A18" s="47" t="s">
        <v>25</v>
      </c>
      <c r="B18" s="47">
        <v>0.5</v>
      </c>
      <c r="C18" s="47" t="s">
        <v>22</v>
      </c>
      <c r="H18" s="47">
        <v>14</v>
      </c>
      <c r="I18" s="50">
        <f>'Settings WL'!F30/('data WL'!$B$9/1000)</f>
        <v>-167.853938803113</v>
      </c>
      <c r="J18" s="50"/>
      <c r="K18" s="50">
        <f t="shared" si="0"/>
        <v>-167.853938803113</v>
      </c>
      <c r="L18" s="50">
        <f>'data WL'!AA18</f>
        <v>2945.275848220754</v>
      </c>
      <c r="M18" s="51">
        <f>'Settings WL'!D30/('Settings WL'!$B$6*L18)</f>
        <v>2.024754668782253E-06</v>
      </c>
      <c r="N18" s="51">
        <f>M18/(4.68*'Settings WL'!$B$6^-0.33)</f>
        <v>1.6707692307692316E-06</v>
      </c>
      <c r="O18" s="48">
        <f>'data WL'!$B$15/'data WL'!$B$16</f>
        <v>2.0833333333333335</v>
      </c>
      <c r="P18" s="48">
        <f>(('Settings WL'!$B$7/100)*(0.01*'data WL'!$B$7*2))/'data WL'!$B$15</f>
        <v>194.49469192193212</v>
      </c>
      <c r="Q18" s="48">
        <f t="shared" si="4"/>
        <v>15.178334431638902</v>
      </c>
      <c r="R18" s="48">
        <f>IF('Settings WL'!E30/'data WL'!$B$20*'data WL'!$B$19&lt;'data WL'!$B$18,'data WL'!$B$18,('Settings WL'!E30/'data WL'!$B$20*'data WL'!$B$19))</f>
        <v>30.32008680905154</v>
      </c>
      <c r="S18" s="52">
        <f>(('data WL'!J18*('data WL'!$B$7*0.01)^2))/(R18*('data WL'!$B$23+'data WL'!$B$24*('data WL'!AF17)*'data WL'!$B$11))</f>
        <v>0</v>
      </c>
      <c r="T18" s="53">
        <f>0.622*EXP(6.414+((17.26*'Settings WL'!C30*'Settings WL'!B30/100)/(237.2+'Settings WL'!C30*'Settings WL'!B30/100)))/('data WL'!$B$21-EXP(6.414+((17.26*'Settings WL'!C30)/(237.2+'Settings WL'!C30))))</f>
        <v>0.016095114800355217</v>
      </c>
      <c r="U18" s="54">
        <f>1.005*'Settings WL'!C30+2500*'data WL'!T18+1.86*'data WL'!T18*'Settings WL'!C30</f>
        <v>79.35840233227141</v>
      </c>
      <c r="V18" s="47">
        <f t="shared" si="5"/>
        <v>0.027</v>
      </c>
      <c r="W18" s="48">
        <f t="shared" si="5"/>
        <v>8.428302605168172</v>
      </c>
      <c r="X18" s="48">
        <f>W18*0.01*'data WL'!$B$7/R18</f>
        <v>0.006758144068570199</v>
      </c>
      <c r="Y18" s="50">
        <f>EXP(6.414+(17.26*'data WL'!AI18)/(237.2+'data WL'!AI18))*((100-0)/100)</f>
        <v>6545.057440490566</v>
      </c>
      <c r="Z18" s="50">
        <f>EXP(6.414+(17.26*'Settings WL'!C30)/(237.2+'Settings WL'!C30))*(('Settings WL'!B30)/100)</f>
        <v>3599.7815922698114</v>
      </c>
      <c r="AA18" s="50">
        <f t="shared" si="1"/>
        <v>2945.275848220754</v>
      </c>
      <c r="AC18" s="48">
        <f>('data WL'!S18/6)*(1+(2*'data WL'!R18)/('data WL'!W18*'data WL'!$B$7*0.01))</f>
        <v>0</v>
      </c>
      <c r="AE18" s="48">
        <f>'Settings WL'!C30</f>
        <v>37.8</v>
      </c>
      <c r="AF18" s="48">
        <f t="shared" si="2"/>
        <v>0</v>
      </c>
      <c r="AG18" s="47">
        <f>(-'data WL'!N18*'data WL'!L18*'Settings WL'!D30/(24*60*60)*2.5*10^5)/'data WL'!V18</f>
        <v>-0.18869247558491126</v>
      </c>
      <c r="AH18" s="48">
        <f t="shared" si="3"/>
        <v>-0.18869247558491126</v>
      </c>
      <c r="AI18" s="48">
        <f>'data WL'!AC18+'Settings WL'!C30</f>
        <v>37.8</v>
      </c>
      <c r="AJ18" s="48">
        <f t="shared" si="6"/>
        <v>37.61130752441509</v>
      </c>
      <c r="AM18" s="28">
        <v>14</v>
      </c>
      <c r="AN18" s="28">
        <v>92.12751073013115</v>
      </c>
      <c r="AO18" s="47">
        <f>'Settings WL'!E30+'Settings WL'!F30</f>
        <v>83.86808684680356</v>
      </c>
    </row>
    <row r="19" spans="1:41" ht="12.75">
      <c r="A19" s="47" t="s">
        <v>24</v>
      </c>
      <c r="B19" s="47">
        <v>50</v>
      </c>
      <c r="C19" s="47" t="s">
        <v>22</v>
      </c>
      <c r="H19" s="47">
        <v>15</v>
      </c>
      <c r="I19" s="50">
        <f>'Settings WL'!F31/('data WL'!$B$9/1000)</f>
        <v>-167.853938803113</v>
      </c>
      <c r="J19" s="50"/>
      <c r="K19" s="50">
        <f t="shared" si="0"/>
        <v>-167.853938803113</v>
      </c>
      <c r="L19" s="50">
        <f>'data WL'!AA19</f>
        <v>2945.275848220754</v>
      </c>
      <c r="M19" s="51">
        <f>'Settings WL'!D31/('Settings WL'!$B$6*L19)</f>
        <v>2.024754668782253E-06</v>
      </c>
      <c r="N19" s="51">
        <f>M19/(4.68*'Settings WL'!$B$6^-0.33)</f>
        <v>1.6707692307692316E-06</v>
      </c>
      <c r="O19" s="48">
        <f>'data WL'!$B$15/'data WL'!$B$16</f>
        <v>2.0833333333333335</v>
      </c>
      <c r="P19" s="48">
        <f>(('Settings WL'!$B$7/100)*(0.01*'data WL'!$B$7*2))/'data WL'!$B$15</f>
        <v>194.49469192193212</v>
      </c>
      <c r="Q19" s="48">
        <f t="shared" si="4"/>
        <v>15.178334431638902</v>
      </c>
      <c r="R19" s="48">
        <f>IF('Settings WL'!E31/'data WL'!$B$20*'data WL'!$B$19&lt;'data WL'!$B$18,'data WL'!$B$18,('Settings WL'!E31/'data WL'!$B$20*'data WL'!$B$19))</f>
        <v>38.26679444587992</v>
      </c>
      <c r="S19" s="52">
        <f>(('data WL'!J19*('data WL'!$B$7*0.01)^2))/(R19*('data WL'!$B$23+'data WL'!$B$24*('data WL'!AF18)*'data WL'!$B$11))</f>
        <v>0</v>
      </c>
      <c r="T19" s="53">
        <f>0.622*EXP(6.414+((17.26*'Settings WL'!C31*'Settings WL'!B31/100)/(237.2+'Settings WL'!C31*'Settings WL'!B31/100)))/('data WL'!$B$21-EXP(6.414+((17.26*'Settings WL'!C31)/(237.2+'Settings WL'!C31))))</f>
        <v>0.016095114800355217</v>
      </c>
      <c r="U19" s="54">
        <f>1.005*'Settings WL'!C31+2500*'data WL'!T19+1.86*'data WL'!T19*'Settings WL'!C31</f>
        <v>79.35840233227141</v>
      </c>
      <c r="V19" s="47">
        <f t="shared" si="5"/>
        <v>0.027</v>
      </c>
      <c r="W19" s="48">
        <f t="shared" si="5"/>
        <v>8.428302605168172</v>
      </c>
      <c r="X19" s="48">
        <f>W19*0.01*'data WL'!$B$7/R19</f>
        <v>0.005354708116900736</v>
      </c>
      <c r="Y19" s="50">
        <f>EXP(6.414+(17.26*'data WL'!AI19)/(237.2+'data WL'!AI19))*((100-0)/100)</f>
        <v>6545.057440490566</v>
      </c>
      <c r="Z19" s="50">
        <f>EXP(6.414+(17.26*'Settings WL'!C31)/(237.2+'Settings WL'!C31))*(('Settings WL'!B31)/100)</f>
        <v>3599.7815922698114</v>
      </c>
      <c r="AA19" s="50">
        <f t="shared" si="1"/>
        <v>2945.275848220754</v>
      </c>
      <c r="AC19" s="48">
        <f>('data WL'!S19/6)*(1+(2*'data WL'!R19)/('data WL'!W19*'data WL'!$B$7*0.01))</f>
        <v>0</v>
      </c>
      <c r="AE19" s="48">
        <f>'Settings WL'!C31</f>
        <v>37.8</v>
      </c>
      <c r="AF19" s="48">
        <f t="shared" si="2"/>
        <v>0</v>
      </c>
      <c r="AG19" s="47">
        <f>(-'data WL'!N19*'data WL'!L19*'Settings WL'!D31/(24*60*60)*2.5*10^5)/'data WL'!V19</f>
        <v>-0.18869247558491126</v>
      </c>
      <c r="AH19" s="48">
        <f t="shared" si="3"/>
        <v>-0.18869247558491126</v>
      </c>
      <c r="AI19" s="48">
        <f>'data WL'!AC19+'Settings WL'!C31</f>
        <v>37.8</v>
      </c>
      <c r="AJ19" s="48">
        <f t="shared" si="6"/>
        <v>37.61130752441509</v>
      </c>
      <c r="AM19" s="28">
        <v>15</v>
      </c>
      <c r="AN19" s="28">
        <v>116.27356274151796</v>
      </c>
      <c r="AO19" s="47">
        <f>'Settings WL'!E31+'Settings WL'!F31</f>
        <v>108.56291276754007</v>
      </c>
    </row>
    <row r="20" spans="1:41" ht="12.75">
      <c r="A20" s="47" t="s">
        <v>89</v>
      </c>
      <c r="B20" s="54">
        <f>'Settings WL'!E34</f>
        <v>155.3777177248243</v>
      </c>
      <c r="C20" s="47" t="s">
        <v>11</v>
      </c>
      <c r="H20" s="47">
        <v>16</v>
      </c>
      <c r="I20" s="50">
        <f>'Settings WL'!F32/('data WL'!$B$9/1000)</f>
        <v>-167.853938803113</v>
      </c>
      <c r="J20" s="50"/>
      <c r="K20" s="50">
        <f t="shared" si="0"/>
        <v>-167.853938803113</v>
      </c>
      <c r="L20" s="50">
        <f>'data WL'!AA20</f>
        <v>2945.275848220754</v>
      </c>
      <c r="M20" s="51">
        <f>'Settings WL'!D32/('Settings WL'!$B$6*L20)</f>
        <v>2.024754668782253E-06</v>
      </c>
      <c r="N20" s="51">
        <f>M20/(4.68*'Settings WL'!$B$6^-0.33)</f>
        <v>1.6707692307692316E-06</v>
      </c>
      <c r="O20" s="48">
        <f>'data WL'!$B$15/'data WL'!$B$16</f>
        <v>2.0833333333333335</v>
      </c>
      <c r="P20" s="48">
        <f>(('Settings WL'!$B$7/100)*(0.01*'data WL'!$B$7*2))/'data WL'!$B$15</f>
        <v>194.49469192193212</v>
      </c>
      <c r="Q20" s="48">
        <f t="shared" si="4"/>
        <v>15.178334431638902</v>
      </c>
      <c r="R20" s="48">
        <f>IF('Settings WL'!E32/'data WL'!$B$20*'data WL'!$B$19&lt;'data WL'!$B$18,'data WL'!$B$18,('Settings WL'!E32/'data WL'!$B$20*'data WL'!$B$19))</f>
        <v>45.02169870569395</v>
      </c>
      <c r="S20" s="52">
        <f>(('data WL'!J20*('data WL'!$B$7*0.01)^2))/(R20*('data WL'!$B$23+'data WL'!$B$24*('data WL'!AF19)*'data WL'!$B$11))</f>
        <v>0</v>
      </c>
      <c r="T20" s="53">
        <f>0.622*EXP(6.414+((17.26*'Settings WL'!C32*'Settings WL'!B32/100)/(237.2+'Settings WL'!C32*'Settings WL'!B32/100)))/('data WL'!$B$21-EXP(6.414+((17.26*'Settings WL'!C32)/(237.2+'Settings WL'!C32))))</f>
        <v>0.016095114800355217</v>
      </c>
      <c r="U20" s="54">
        <f>1.005*'Settings WL'!C32+2500*'data WL'!T20+1.86*'data WL'!T20*'Settings WL'!C32</f>
        <v>79.35840233227141</v>
      </c>
      <c r="V20" s="47">
        <f t="shared" si="5"/>
        <v>0.027</v>
      </c>
      <c r="W20" s="48">
        <f t="shared" si="5"/>
        <v>8.428302605168172</v>
      </c>
      <c r="X20" s="48">
        <f>W20*0.01*'data WL'!$B$7/R20</f>
        <v>0.0045513057196398116</v>
      </c>
      <c r="Y20" s="50">
        <f>EXP(6.414+(17.26*'data WL'!AI20)/(237.2+'data WL'!AI20))*((100-0)/100)</f>
        <v>6545.057440490566</v>
      </c>
      <c r="Z20" s="50">
        <f>EXP(6.414+(17.26*'Settings WL'!C32)/(237.2+'Settings WL'!C32))*(('Settings WL'!B32)/100)</f>
        <v>3599.7815922698114</v>
      </c>
      <c r="AA20" s="50">
        <f t="shared" si="1"/>
        <v>2945.275848220754</v>
      </c>
      <c r="AC20" s="48">
        <f>('data WL'!S20/6)*(1+(2*'data WL'!R20)/('data WL'!W20*'data WL'!$B$7*0.01))</f>
        <v>0</v>
      </c>
      <c r="AE20" s="48">
        <f>'Settings WL'!C32</f>
        <v>37.8</v>
      </c>
      <c r="AF20" s="48">
        <f t="shared" si="2"/>
        <v>0</v>
      </c>
      <c r="AG20" s="47">
        <f>(-'data WL'!N20*'data WL'!L20*'Settings WL'!D32/(24*60*60)*2.5*10^5)/'data WL'!V20</f>
        <v>-0.18869247558491126</v>
      </c>
      <c r="AH20" s="48">
        <f t="shared" si="3"/>
        <v>-0.18869247558491126</v>
      </c>
      <c r="AI20" s="48">
        <f>'data WL'!AC20+'Settings WL'!C32</f>
        <v>37.8</v>
      </c>
      <c r="AJ20" s="48">
        <f t="shared" si="6"/>
        <v>37.61130752441509</v>
      </c>
      <c r="AM20" s="28">
        <v>16</v>
      </c>
      <c r="AN20" s="28">
        <v>136.79832306282566</v>
      </c>
      <c r="AO20" s="47">
        <f>'Settings WL'!E32+'Settings WL'!F32</f>
        <v>129.55414491433203</v>
      </c>
    </row>
    <row r="21" spans="1:41" ht="12.75">
      <c r="A21" s="47" t="s">
        <v>29</v>
      </c>
      <c r="B21" s="47">
        <v>101325</v>
      </c>
      <c r="C21" s="47" t="s">
        <v>30</v>
      </c>
      <c r="H21" s="47">
        <v>17</v>
      </c>
      <c r="I21" s="50">
        <f>'Settings WL'!F33/('data WL'!$B$9/1000)</f>
        <v>-167.853938803113</v>
      </c>
      <c r="J21" s="50"/>
      <c r="K21" s="50">
        <f t="shared" si="0"/>
        <v>-167.853938803113</v>
      </c>
      <c r="L21" s="50">
        <f>'data WL'!AA21</f>
        <v>2945.275848220754</v>
      </c>
      <c r="M21" s="51">
        <f>'Settings WL'!D33/('Settings WL'!$B$6*L21)</f>
        <v>2.024754668782253E-06</v>
      </c>
      <c r="N21" s="51">
        <f>M21/(4.68*'Settings WL'!$B$6^-0.33)</f>
        <v>1.6707692307692316E-06</v>
      </c>
      <c r="O21" s="48">
        <f>'data WL'!$B$15/'data WL'!$B$16</f>
        <v>2.0833333333333335</v>
      </c>
      <c r="P21" s="48">
        <f>(('Settings WL'!$B$7/100)*(0.01*'data WL'!$B$7*2))/'data WL'!$B$15</f>
        <v>194.49469192193212</v>
      </c>
      <c r="Q21" s="48">
        <f t="shared" si="4"/>
        <v>15.178334431638902</v>
      </c>
      <c r="R21" s="48">
        <f>IF('Settings WL'!E33/'data WL'!$B$20*'data WL'!$B$19&lt;'data WL'!$B$18,'data WL'!$B$18,('Settings WL'!E33/'data WL'!$B$20*'data WL'!$B$19))</f>
        <v>47.967046654844786</v>
      </c>
      <c r="S21" s="52">
        <f>(('data WL'!J21*('data WL'!$B$7*0.01)^2))/(R21*('data WL'!$B$23+'data WL'!$B$24*('data WL'!AF20)*'data WL'!$B$11))</f>
        <v>0</v>
      </c>
      <c r="T21" s="53">
        <f>0.622*EXP(6.414+((17.26*'Settings WL'!C33*'Settings WL'!B33/100)/(237.2+'Settings WL'!C33*'Settings WL'!B33/100)))/('data WL'!$B$21-EXP(6.414+((17.26*'Settings WL'!C33)/(237.2+'Settings WL'!C33))))</f>
        <v>0.016095114800355217</v>
      </c>
      <c r="U21" s="54">
        <f>1.005*'Settings WL'!C33+2500*'data WL'!T21+1.86*'data WL'!T21*'Settings WL'!C33</f>
        <v>79.35840233227141</v>
      </c>
      <c r="V21" s="47">
        <f t="shared" si="5"/>
        <v>0.027</v>
      </c>
      <c r="W21" s="48">
        <f t="shared" si="5"/>
        <v>8.428302605168172</v>
      </c>
      <c r="X21" s="48">
        <f>W21*0.01*'data WL'!$B$7/R21</f>
        <v>0.004271839296289655</v>
      </c>
      <c r="Y21" s="50">
        <f>EXP(6.414+(17.26*'data WL'!AI21)/(237.2+'data WL'!AI21))*((100-0)/100)</f>
        <v>6545.057440490566</v>
      </c>
      <c r="Z21" s="50">
        <f>EXP(6.414+(17.26*'Settings WL'!C33)/(237.2+'Settings WL'!C33))*(('Settings WL'!B33)/100)</f>
        <v>3599.7815922698114</v>
      </c>
      <c r="AA21" s="50">
        <f t="shared" si="1"/>
        <v>2945.275848220754</v>
      </c>
      <c r="AC21" s="48">
        <f>('data WL'!S21/6)*(1+(2*'data WL'!R21)/('data WL'!W21*'data WL'!$B$7*0.01))</f>
        <v>0</v>
      </c>
      <c r="AE21" s="48">
        <f>'Settings WL'!C33</f>
        <v>37.8</v>
      </c>
      <c r="AF21" s="48">
        <f t="shared" si="2"/>
        <v>0</v>
      </c>
      <c r="AG21" s="47">
        <f>(-'data WL'!N21*'data WL'!L21*'Settings WL'!D33/(24*60*60)*2.5*10^5)/'data WL'!V21</f>
        <v>-0.18869247558491126</v>
      </c>
      <c r="AH21" s="48">
        <f t="shared" si="3"/>
        <v>-0.18869247558491126</v>
      </c>
      <c r="AI21" s="48">
        <f>'data WL'!AC21+'Settings WL'!C33</f>
        <v>37.8</v>
      </c>
      <c r="AJ21" s="48">
        <f t="shared" si="6"/>
        <v>37.61130752441509</v>
      </c>
      <c r="AM21" s="28">
        <v>17</v>
      </c>
      <c r="AN21" s="28">
        <v>145.7477557111635</v>
      </c>
      <c r="AO21" s="47">
        <f>'Settings WL'!E33+'Settings WL'!F33</f>
        <v>138.70697375922302</v>
      </c>
    </row>
    <row r="22" spans="1:41" ht="12.75">
      <c r="A22" s="47" t="s">
        <v>46</v>
      </c>
      <c r="B22" s="48">
        <v>1</v>
      </c>
      <c r="C22" s="48">
        <f>'data WL'!AF5</f>
        <v>0</v>
      </c>
      <c r="H22" s="47">
        <v>18</v>
      </c>
      <c r="I22" s="50">
        <f>'Settings WL'!F34/('data WL'!$B$9/1000)</f>
        <v>-167.853938803113</v>
      </c>
      <c r="J22" s="50"/>
      <c r="K22" s="50">
        <f t="shared" si="0"/>
        <v>-167.853938803113</v>
      </c>
      <c r="L22" s="50">
        <f>'data WL'!AA22</f>
        <v>2945.275848220754</v>
      </c>
      <c r="M22" s="51">
        <f>'Settings WL'!D34/('Settings WL'!$B$6*L22)</f>
        <v>2.024754668782253E-06</v>
      </c>
      <c r="N22" s="51">
        <f>M22/(4.68*'Settings WL'!$B$6^-0.33)</f>
        <v>1.6707692307692316E-06</v>
      </c>
      <c r="O22" s="48">
        <f>'data WL'!$B$15/'data WL'!$B$16</f>
        <v>2.0833333333333335</v>
      </c>
      <c r="P22" s="48">
        <f>(('Settings WL'!$B$7/100)*(0.01*'data WL'!$B$7*2))/'data WL'!$B$15</f>
        <v>194.49469192193212</v>
      </c>
      <c r="Q22" s="48">
        <f t="shared" si="4"/>
        <v>15.178334431638902</v>
      </c>
      <c r="R22" s="48">
        <f>IF('Settings WL'!E34/'data WL'!$B$20*'data WL'!$B$19&lt;'data WL'!$B$18,'data WL'!$B$18,('Settings WL'!E34/'data WL'!$B$20*'data WL'!$B$19))</f>
        <v>50</v>
      </c>
      <c r="S22" s="52">
        <f>(('data WL'!J22*('data WL'!$B$7*0.01)^2))/(R22*('data WL'!$B$23+'data WL'!$B$24*('data WL'!AF21)*'data WL'!$B$11))</f>
        <v>0</v>
      </c>
      <c r="T22" s="53">
        <f>0.622*EXP(6.414+((17.26*'Settings WL'!C34*'Settings WL'!B34/100)/(237.2+'Settings WL'!C34*'Settings WL'!B34/100)))/('data WL'!$B$21-EXP(6.414+((17.26*'Settings WL'!C34)/(237.2+'Settings WL'!C34))))</f>
        <v>0.016095114800355217</v>
      </c>
      <c r="U22" s="54">
        <f>1.005*'Settings WL'!C34+2500*'data WL'!T22+1.86*'data WL'!T22*'Settings WL'!C34</f>
        <v>79.35840233227141</v>
      </c>
      <c r="V22" s="47">
        <f>V21</f>
        <v>0.027</v>
      </c>
      <c r="W22" s="48">
        <f>W21</f>
        <v>8.428302605168172</v>
      </c>
      <c r="X22" s="48">
        <f>W22*0.01*'data WL'!$B$7/R22</f>
        <v>0.004098150296542504</v>
      </c>
      <c r="Y22" s="50">
        <f>EXP(6.414+(17.26*'data WL'!AI22)/(237.2+'data WL'!AI22))*((100-0)/100)</f>
        <v>6545.057440490566</v>
      </c>
      <c r="Z22" s="50">
        <f>EXP(6.414+(17.26*'Settings WL'!C34)/(237.2+'Settings WL'!C34))*(('Settings WL'!B34)/100)</f>
        <v>3599.7815922698114</v>
      </c>
      <c r="AA22" s="50">
        <f t="shared" si="1"/>
        <v>2945.275848220754</v>
      </c>
      <c r="AC22" s="48">
        <f>('data WL'!S22/6)*(1+(2*'data WL'!R22)/('data WL'!W22*'data WL'!$B$7*0.01))</f>
        <v>0</v>
      </c>
      <c r="AE22" s="48">
        <f>'Settings WL'!C34</f>
        <v>37.8</v>
      </c>
      <c r="AF22" s="48">
        <f t="shared" si="2"/>
        <v>0</v>
      </c>
      <c r="AG22" s="47">
        <f>(-'data WL'!N22*'data WL'!L22*'Settings WL'!D34/(24*60*60)*2.5*10^5)/'data WL'!V22</f>
        <v>-0.18869247558491126</v>
      </c>
      <c r="AH22" s="48">
        <f t="shared" si="3"/>
        <v>-0.18869247558491126</v>
      </c>
      <c r="AI22" s="48">
        <f>'data WL'!AC22+'Settings WL'!C34</f>
        <v>37.8</v>
      </c>
      <c r="AJ22" s="48">
        <f t="shared" si="6"/>
        <v>37.61130752441509</v>
      </c>
      <c r="AM22" s="28">
        <v>18</v>
      </c>
      <c r="AN22" s="28">
        <v>151.92487955316153</v>
      </c>
      <c r="AO22" s="47">
        <f>'Settings WL'!E34+'Settings WL'!F34</f>
        <v>145.0244867794483</v>
      </c>
    </row>
    <row r="23" spans="1:40" ht="12.75">
      <c r="A23" s="47" t="s">
        <v>32</v>
      </c>
      <c r="B23" s="47">
        <v>1</v>
      </c>
      <c r="H23" s="47">
        <v>19</v>
      </c>
      <c r="I23" s="50"/>
      <c r="J23" s="50"/>
      <c r="K23" s="50"/>
      <c r="L23" s="51"/>
      <c r="M23" s="51"/>
      <c r="N23" s="48"/>
      <c r="AM23" s="28"/>
      <c r="AN23" s="28"/>
    </row>
    <row r="24" spans="1:40" ht="12.75">
      <c r="A24" s="47" t="s">
        <v>42</v>
      </c>
      <c r="B24" s="47">
        <v>1</v>
      </c>
      <c r="C24" s="47" t="s">
        <v>43</v>
      </c>
      <c r="D24" s="47" t="s">
        <v>52</v>
      </c>
      <c r="H24" s="47">
        <v>20</v>
      </c>
      <c r="J24" s="50"/>
      <c r="K24" s="50"/>
      <c r="L24" s="51"/>
      <c r="M24" s="51"/>
      <c r="N24" s="48"/>
      <c r="AM24" s="28"/>
      <c r="AN24" s="28"/>
    </row>
    <row r="25" spans="8:40" ht="12.75">
      <c r="H25" s="47">
        <v>21</v>
      </c>
      <c r="J25" s="50"/>
      <c r="K25" s="50"/>
      <c r="L25" s="51"/>
      <c r="M25" s="51"/>
      <c r="N25" s="48"/>
      <c r="AN25" s="28"/>
    </row>
    <row r="28" spans="39:40" ht="12.75">
      <c r="AM28" s="28" t="s">
        <v>45</v>
      </c>
      <c r="AN28" s="29">
        <v>70.4</v>
      </c>
    </row>
    <row r="29" spans="1:41" ht="12.75">
      <c r="A29" s="47" t="s">
        <v>48</v>
      </c>
      <c r="B29" s="48">
        <f>B3</f>
        <v>6.964034457473525</v>
      </c>
      <c r="C29" s="47" t="s">
        <v>49</v>
      </c>
      <c r="H29" s="49"/>
      <c r="I29" s="49" t="s">
        <v>63</v>
      </c>
      <c r="J29" s="49" t="s">
        <v>62</v>
      </c>
      <c r="K29" s="49" t="s">
        <v>61</v>
      </c>
      <c r="L29" s="49" t="s">
        <v>13</v>
      </c>
      <c r="M29" s="49" t="s">
        <v>3</v>
      </c>
      <c r="N29" s="49" t="s">
        <v>4</v>
      </c>
      <c r="O29" s="49" t="s">
        <v>16</v>
      </c>
      <c r="P29" s="49" t="s">
        <v>17</v>
      </c>
      <c r="Q29" s="49" t="s">
        <v>15</v>
      </c>
      <c r="R29" s="49" t="s">
        <v>38</v>
      </c>
      <c r="S29" s="49" t="s">
        <v>23</v>
      </c>
      <c r="T29" s="49" t="s">
        <v>28</v>
      </c>
      <c r="U29" s="49" t="s">
        <v>31</v>
      </c>
      <c r="V29" s="49" t="s">
        <v>39</v>
      </c>
      <c r="W29" s="49" t="s">
        <v>35</v>
      </c>
      <c r="X29" s="49" t="s">
        <v>37</v>
      </c>
      <c r="Y29" s="47" t="s">
        <v>59</v>
      </c>
      <c r="Z29" s="47" t="s">
        <v>58</v>
      </c>
      <c r="AA29" s="47" t="s">
        <v>60</v>
      </c>
      <c r="AC29" s="49" t="s">
        <v>55</v>
      </c>
      <c r="AE29" s="49" t="s">
        <v>34</v>
      </c>
      <c r="AF29" s="49" t="s">
        <v>41</v>
      </c>
      <c r="AG29" s="49" t="s">
        <v>56</v>
      </c>
      <c r="AH29" s="49" t="s">
        <v>57</v>
      </c>
      <c r="AI29" s="49" t="s">
        <v>26</v>
      </c>
      <c r="AJ29" s="47" t="str">
        <f>AJ3</f>
        <v>ET (ºC)</v>
      </c>
      <c r="AK29" s="49" t="s">
        <v>90</v>
      </c>
      <c r="AL29" s="49"/>
      <c r="AM29" s="28" t="s">
        <v>44</v>
      </c>
      <c r="AN29" s="29" t="s">
        <v>54</v>
      </c>
      <c r="AO29" s="47" t="s">
        <v>88</v>
      </c>
    </row>
    <row r="30" spans="1:39" ht="12.75">
      <c r="A30" s="47" t="s">
        <v>50</v>
      </c>
      <c r="B30" s="48">
        <f>B4</f>
        <v>8.428302605168172</v>
      </c>
      <c r="C30" s="47" t="s">
        <v>49</v>
      </c>
      <c r="H30" s="47">
        <v>0</v>
      </c>
      <c r="W30" s="50"/>
      <c r="AM30" s="28">
        <v>0</v>
      </c>
    </row>
    <row r="31" spans="8:41" ht="12.75">
      <c r="H31" s="47">
        <v>1</v>
      </c>
      <c r="I31" s="50"/>
      <c r="J31" s="50">
        <f>('Settings WL'!E17)/('data WL'!$B$9/1000)</f>
        <v>4.208208194993377</v>
      </c>
      <c r="K31" s="50">
        <f aca="true" t="shared" si="7" ref="K31:K48">I31+J31</f>
        <v>4.208208194993377</v>
      </c>
      <c r="L31" s="50">
        <f>'data WL'!AA31</f>
        <v>2911.7620389957096</v>
      </c>
      <c r="M31" s="51">
        <f>'Settings WL'!D17/('Settings WL'!$B$6*L5)</f>
        <v>2.024754668782253E-06</v>
      </c>
      <c r="N31" s="51">
        <f>M31/(4.68*'Settings ET'!$B$6^-0.33)</f>
        <v>1.6707692307692316E-06</v>
      </c>
      <c r="O31" s="48">
        <f>'data ET'!$B$15/'data ET'!$B$16</f>
        <v>2.0833333333333335</v>
      </c>
      <c r="P31" s="48">
        <f>(('Settings ET'!$B$7/100)*(0.01*'data ET'!$B$7*2))/'data ET'!$B$15</f>
        <v>194.49469192193212</v>
      </c>
      <c r="Q31" s="48">
        <f>2+1.3*O31^0.15+0.66*P31^0.5*O31^0.33</f>
        <v>15.178334431638902</v>
      </c>
      <c r="R31" s="48">
        <f>IF('Settings ET'!E17/'data ET'!$B$20*'data ET'!$B$19&lt;'data ET'!$B$18,'data ET'!$B$18,('Settings ET'!E17/'data ET'!$B$20*'data ET'!$B$19))</f>
        <v>0.5</v>
      </c>
      <c r="S31" s="52">
        <f>((('data WL'!J31+K5)*('data WL'!$B$7*0.01)^2))/(R31*('data WL'!$B$23+'data WL'!$B$24*'data WL'!$B$22))</f>
        <v>-0.09672532816110439</v>
      </c>
      <c r="T31" s="53">
        <f>0.622*EXP(6.414+((17.26*'Settings WL'!C17*'Settings WL'!B17/100)/(237.2+'Settings WL'!C17*'Settings WL'!B17/100)))/('data WL'!$B$21-EXP(6.414+((17.26*'Settings WL'!C17)/(237.2+'Settings WL'!C17))))</f>
        <v>0.016095114800355217</v>
      </c>
      <c r="U31" s="54">
        <f>1.005*'Settings WL'!C17+2500*'data WL'!T5+1.86*'data WL'!T5*'Settings WL'!C17</f>
        <v>79.35840233227141</v>
      </c>
      <c r="V31" s="47">
        <f>'data WL'!B17</f>
        <v>0.027</v>
      </c>
      <c r="W31" s="48">
        <f>'data WL'!B4</f>
        <v>8.428302605168172</v>
      </c>
      <c r="X31" s="48">
        <f>W5*0.01*'data WL'!$B$7/R5</f>
        <v>0.4098150296542504</v>
      </c>
      <c r="Y31" s="50">
        <f>EXP(6.414+(17.26*'data WL'!AI31)/(237.2+'data WL'!AI31))*((100-0)/100)</f>
        <v>6511.543631265521</v>
      </c>
      <c r="Z31" s="50">
        <f>EXP(6.414+(17.26*'Settings WL'!C17)/(237.2+'Settings WL'!C17))*(('Settings WL'!B17)/100)</f>
        <v>3599.7815922698114</v>
      </c>
      <c r="AA31" s="50">
        <f aca="true" t="shared" si="8" ref="AA31:AA48">Y31-Z31</f>
        <v>2911.7620389957096</v>
      </c>
      <c r="AC31" s="48">
        <f>('data WL'!S31/6)*(1+(2*'data WL'!R31)/('data WL'!W31*'data WL'!$B$7*0.01))</f>
        <v>-0.09479485974746568</v>
      </c>
      <c r="AE31" s="48">
        <f>'Settings WL'!C17</f>
        <v>37.8</v>
      </c>
      <c r="AF31" s="48">
        <f>ABS(AC31)</f>
        <v>0.09479485974746568</v>
      </c>
      <c r="AG31" s="48">
        <f>AVERAGE(AG5,$AC$31)</f>
        <v>-0.14174366766618846</v>
      </c>
      <c r="AH31" s="48">
        <f aca="true" t="shared" si="9" ref="AH31:AH48">AC31+AG31</f>
        <v>-0.23653852741365414</v>
      </c>
      <c r="AI31" s="48">
        <f>'data WL'!AC31+'Settings WL'!C17</f>
        <v>37.70520514025253</v>
      </c>
      <c r="AJ31" s="48">
        <f>AE31+AF31</f>
        <v>37.89479485974746</v>
      </c>
      <c r="AK31" s="48">
        <f>AVERAGE('data ET'!AJ5,AI31)</f>
        <v>37.66058329833857</v>
      </c>
      <c r="AL31" s="48"/>
      <c r="AM31" s="28">
        <v>1</v>
      </c>
      <c r="AN31" s="28">
        <v>0.25379423076792057</v>
      </c>
      <c r="AO31" s="47">
        <f>'Settings ET'!E43+'Settings ET'!F43</f>
        <v>0</v>
      </c>
    </row>
    <row r="32" spans="1:41" ht="12.75">
      <c r="A32" s="47" t="s">
        <v>27</v>
      </c>
      <c r="B32" s="47">
        <v>1028</v>
      </c>
      <c r="C32" s="47" t="s">
        <v>10</v>
      </c>
      <c r="H32" s="47">
        <v>2</v>
      </c>
      <c r="I32" s="50"/>
      <c r="J32" s="50">
        <f>('Settings WL'!E18)/('data WL'!$B$9/1000)</f>
        <v>18.506728603748375</v>
      </c>
      <c r="K32" s="50">
        <f t="shared" si="7"/>
        <v>18.506728603748375</v>
      </c>
      <c r="L32" s="50">
        <f>'data WL'!AA32</f>
        <v>2914.684367704415</v>
      </c>
      <c r="M32" s="51">
        <f>'Settings WL'!D18/('Settings WL'!$B$6*L6)</f>
        <v>2.024754668782253E-06</v>
      </c>
      <c r="N32" s="51">
        <f>M32/(4.68*'Settings ET'!$B$6^-0.33)</f>
        <v>1.6707692307692316E-06</v>
      </c>
      <c r="O32" s="48">
        <f>'data ET'!$B$15/'data ET'!$B$16</f>
        <v>2.0833333333333335</v>
      </c>
      <c r="P32" s="48">
        <f>(('Settings ET'!$B$7/100)*(0.01*'data ET'!$B$7*2))/'data ET'!$B$15</f>
        <v>194.49469192193212</v>
      </c>
      <c r="Q32" s="48">
        <f aca="true" t="shared" si="10" ref="Q32:Q48">2+1.3*O32^0.15+0.66*P32^0.5*O32^0.33</f>
        <v>15.178334431638902</v>
      </c>
      <c r="R32" s="48">
        <f>IF('Settings ET'!E18/'data ET'!$B$20*'data ET'!$B$19&lt;'data ET'!$B$18,'data ET'!$B$18,('Settings ET'!E18/'data ET'!$B$20*'data ET'!$B$19))</f>
        <v>0.5</v>
      </c>
      <c r="S32" s="52">
        <f>((('data WL'!J32+K6)*('data WL'!$B$7*0.01)^2))/(R32*('data WL'!$B$23+'data WL'!$B$24*'data WL'!$B$22))</f>
        <v>-0.08827396756883207</v>
      </c>
      <c r="T32" s="53">
        <f>0.622*EXP(6.414+((17.26*'Settings WL'!C18*'Settings WL'!B18/100)/(237.2+'Settings WL'!C18*'Settings WL'!B18/100)))/('data WL'!$B$21-EXP(6.414+((17.26*'Settings WL'!C18)/(237.2+'Settings WL'!C18))))</f>
        <v>0.016095114800355217</v>
      </c>
      <c r="U32" s="54">
        <f>1.005*'Settings WL'!C18+2500*'data WL'!T6+1.86*'data WL'!T6*'Settings WL'!C18</f>
        <v>79.35840233227141</v>
      </c>
      <c r="V32" s="47">
        <f aca="true" t="shared" si="11" ref="V32:W47">V31</f>
        <v>0.027</v>
      </c>
      <c r="W32" s="48">
        <f t="shared" si="11"/>
        <v>8.428302605168172</v>
      </c>
      <c r="X32" s="48">
        <f>W6*0.01*'data WL'!$B$7/R6</f>
        <v>0.4098150296542504</v>
      </c>
      <c r="Y32" s="50">
        <f>EXP(6.414+(17.26*'data WL'!AI32)/(237.2+'data WL'!AI32))*((100-0)/100)</f>
        <v>6514.465959974226</v>
      </c>
      <c r="Z32" s="50">
        <f>EXP(6.414+(17.26*'Settings WL'!C18)/(237.2+'Settings WL'!C18))*(('Settings WL'!B18)/100)</f>
        <v>3599.7815922698114</v>
      </c>
      <c r="AA32" s="50">
        <f t="shared" si="8"/>
        <v>2914.684367704415</v>
      </c>
      <c r="AC32" s="48">
        <f>('data WL'!S32/6)*(1+(2*'data WL'!R32)/('data WL'!W32*'data WL'!$B$7*0.01))</f>
        <v>-0.08651217353434335</v>
      </c>
      <c r="AE32" s="48">
        <f>'Settings WL'!C18</f>
        <v>37.8</v>
      </c>
      <c r="AF32" s="48">
        <f aca="true" t="shared" si="12" ref="AF32:AF48">ABS(AC32)</f>
        <v>0.08651217353434335</v>
      </c>
      <c r="AG32" s="48">
        <f aca="true" t="shared" si="13" ref="AG32:AG48">AVERAGE(AG6,$AC$31)</f>
        <v>-0.14174366766618846</v>
      </c>
      <c r="AH32" s="48">
        <f t="shared" si="9"/>
        <v>-0.2282558412005318</v>
      </c>
      <c r="AI32" s="48">
        <f>'data WL'!AC32+'Settings WL'!C18</f>
        <v>37.71348782646565</v>
      </c>
      <c r="AJ32" s="48">
        <f aca="true" t="shared" si="14" ref="AJ32:AJ48">AE32+AF32</f>
        <v>37.88651217353434</v>
      </c>
      <c r="AK32" s="48">
        <f>AVERAGE('data ET'!AJ6,AI32)</f>
        <v>37.672580818104564</v>
      </c>
      <c r="AL32" s="48"/>
      <c r="AM32" s="28">
        <v>2</v>
      </c>
      <c r="AN32" s="28">
        <v>1.1161284642729954</v>
      </c>
      <c r="AO32" s="47">
        <f>'Settings ET'!E44+'Settings ET'!F44</f>
        <v>0</v>
      </c>
    </row>
    <row r="33" spans="1:41" ht="12.75">
      <c r="A33" s="47" t="s">
        <v>36</v>
      </c>
      <c r="B33" s="48">
        <f>((B35/4.1783)^0.33)</f>
        <v>2.431183649024151</v>
      </c>
      <c r="C33" s="47" t="s">
        <v>9</v>
      </c>
      <c r="H33" s="47">
        <v>3</v>
      </c>
      <c r="I33" s="50"/>
      <c r="J33" s="50">
        <f>('Settings WL'!E19)/('data WL'!$B$9/1000)</f>
        <v>16.32614592801817</v>
      </c>
      <c r="K33" s="50">
        <f t="shared" si="7"/>
        <v>16.32614592801817</v>
      </c>
      <c r="L33" s="50">
        <f>'data WL'!AA33</f>
        <v>2914.238627299606</v>
      </c>
      <c r="M33" s="51">
        <f>'Settings WL'!D19/('Settings WL'!$B$6*L7)</f>
        <v>2.024754668782253E-06</v>
      </c>
      <c r="N33" s="51">
        <f>M33/(4.68*'Settings ET'!$B$6^-0.33)</f>
        <v>1.6707692307692316E-06</v>
      </c>
      <c r="O33" s="48">
        <f>'data ET'!$B$15/'data ET'!$B$16</f>
        <v>2.0833333333333335</v>
      </c>
      <c r="P33" s="48">
        <f>(('Settings ET'!$B$7/100)*(0.01*'data ET'!$B$7*2))/'data ET'!$B$15</f>
        <v>194.49469192193212</v>
      </c>
      <c r="Q33" s="48">
        <f t="shared" si="10"/>
        <v>15.178334431638902</v>
      </c>
      <c r="R33" s="48">
        <f>IF('Settings ET'!E19/'data ET'!$B$20*'data ET'!$B$19&lt;'data ET'!$B$18,'data ET'!$B$18,('Settings ET'!E19/'data ET'!$B$20*'data ET'!$B$19))</f>
        <v>0.5</v>
      </c>
      <c r="S33" s="52">
        <f>((('data WL'!J33+K7)*('data WL'!$B$7*0.01)^2))/(R33*('data WL'!$B$23+'data WL'!$B$24*'data WL'!$B$22))</f>
        <v>-0.0895628345261834</v>
      </c>
      <c r="T33" s="53">
        <f>0.622*EXP(6.414+((17.26*'Settings WL'!C19*'Settings WL'!B19/100)/(237.2+'Settings WL'!C19*'Settings WL'!B19/100)))/('data WL'!$B$21-EXP(6.414+((17.26*'Settings WL'!C19)/(237.2+'Settings WL'!C19))))</f>
        <v>0.016095114800355217</v>
      </c>
      <c r="U33" s="54">
        <f>1.005*'Settings WL'!C19+2500*'data WL'!T7+1.86*'data WL'!T7*'Settings WL'!C19</f>
        <v>79.35840233227141</v>
      </c>
      <c r="V33" s="47">
        <f t="shared" si="11"/>
        <v>0.027</v>
      </c>
      <c r="W33" s="48">
        <f t="shared" si="11"/>
        <v>8.428302605168172</v>
      </c>
      <c r="X33" s="48">
        <f>W7*0.01*'data WL'!$B$7/R7</f>
        <v>0.4098150296542504</v>
      </c>
      <c r="Y33" s="50">
        <f>EXP(6.414+(17.26*'data WL'!AI33)/(237.2+'data WL'!AI33))*((100-0)/100)</f>
        <v>6514.020219569417</v>
      </c>
      <c r="Z33" s="50">
        <f>EXP(6.414+(17.26*'Settings WL'!C19)/(237.2+'Settings WL'!C19))*(('Settings WL'!B19)/100)</f>
        <v>3599.7815922698114</v>
      </c>
      <c r="AA33" s="50">
        <f t="shared" si="8"/>
        <v>2914.238627299606</v>
      </c>
      <c r="AC33" s="48">
        <f>('data WL'!S33/6)*(1+(2*'data WL'!R33)/('data WL'!W33*'data WL'!$B$7*0.01))</f>
        <v>-0.08777531696097264</v>
      </c>
      <c r="AE33" s="48">
        <f>'Settings WL'!C19</f>
        <v>37.8</v>
      </c>
      <c r="AF33" s="48">
        <f t="shared" si="12"/>
        <v>0.08777531696097264</v>
      </c>
      <c r="AG33" s="48">
        <f t="shared" si="13"/>
        <v>-0.14174366766618846</v>
      </c>
      <c r="AH33" s="48">
        <f t="shared" si="9"/>
        <v>-0.22951898462716108</v>
      </c>
      <c r="AI33" s="48">
        <f>'data WL'!AC33+'Settings WL'!C19</f>
        <v>37.712224683039025</v>
      </c>
      <c r="AJ33" s="48">
        <f t="shared" si="14"/>
        <v>37.88777531696097</v>
      </c>
      <c r="AK33" s="48">
        <f>AVERAGE('data ET'!AJ7,AI33)</f>
        <v>37.67060471377749</v>
      </c>
      <c r="AL33" s="48"/>
      <c r="AM33" s="28">
        <v>3</v>
      </c>
      <c r="AN33" s="28">
        <v>0.9846189768214906</v>
      </c>
      <c r="AO33" s="47">
        <f>'Settings ET'!E45+'Settings ET'!F45</f>
        <v>0</v>
      </c>
    </row>
    <row r="34" spans="1:41" ht="12.75">
      <c r="A34" s="47" t="s">
        <v>6</v>
      </c>
      <c r="B34" s="48">
        <f>4.69*('Settings ET'!$B$6)^0.66</f>
        <v>69.94435473212027</v>
      </c>
      <c r="C34" s="47" t="s">
        <v>5</v>
      </c>
      <c r="H34" s="47">
        <v>4</v>
      </c>
      <c r="I34" s="50"/>
      <c r="J34" s="50">
        <f>('Settings WL'!E20)/('data WL'!$B$9/1000)</f>
        <v>41.381759100077126</v>
      </c>
      <c r="K34" s="50">
        <f t="shared" si="7"/>
        <v>41.381759100077126</v>
      </c>
      <c r="L34" s="50">
        <f>'data WL'!AA34</f>
        <v>2921.0833985011636</v>
      </c>
      <c r="M34" s="51">
        <f>'Settings WL'!D20/('Settings WL'!$B$6*L8)</f>
        <v>2.024754668782253E-06</v>
      </c>
      <c r="N34" s="51">
        <f>M34/(4.68*'Settings ET'!$B$6^-0.33)</f>
        <v>1.6707692307692316E-06</v>
      </c>
      <c r="O34" s="48">
        <f>'data ET'!$B$15/'data ET'!$B$16</f>
        <v>2.0833333333333335</v>
      </c>
      <c r="P34" s="48">
        <f>(('Settings ET'!$B$7/100)*(0.01*'data ET'!$B$7*2))/'data ET'!$B$15</f>
        <v>194.49469192193212</v>
      </c>
      <c r="Q34" s="48">
        <f t="shared" si="10"/>
        <v>15.178334431638902</v>
      </c>
      <c r="R34" s="48">
        <f>IF('Settings ET'!E20/'data ET'!$B$20*'data ET'!$B$19&lt;'data ET'!$B$18,'data ET'!$B$18,('Settings ET'!E20/'data ET'!$B$20*'data ET'!$B$19))</f>
        <v>0.8213619490193357</v>
      </c>
      <c r="S34" s="52">
        <f>((('data WL'!J34+K8)*('data WL'!$B$7*0.01)^2))/(R34*('data WL'!$B$23+'data WL'!$B$24*'data WL'!$B$22))</f>
        <v>-0.04550571691067544</v>
      </c>
      <c r="T34" s="53">
        <f>0.622*EXP(6.414+((17.26*'Settings WL'!C20*'Settings WL'!B20/100)/(237.2+'Settings WL'!C20*'Settings WL'!B20/100)))/('data WL'!$B$21-EXP(6.414+((17.26*'Settings WL'!C20)/(237.2+'Settings WL'!C20))))</f>
        <v>0.016095114800355217</v>
      </c>
      <c r="U34" s="54">
        <f>1.005*'Settings WL'!C20+2500*'data WL'!T8+1.86*'data WL'!T8*'Settings WL'!C20</f>
        <v>79.35840233227141</v>
      </c>
      <c r="V34" s="47">
        <f t="shared" si="11"/>
        <v>0.027</v>
      </c>
      <c r="W34" s="48">
        <f t="shared" si="11"/>
        <v>8.428302605168172</v>
      </c>
      <c r="X34" s="48">
        <f>W8*0.01*'data WL'!$B$7/R8</f>
        <v>0.2494728603775404</v>
      </c>
      <c r="Y34" s="50">
        <f>EXP(6.414+(17.26*'data WL'!AI34)/(237.2+'data WL'!AI34))*((100-0)/100)</f>
        <v>6520.864990770975</v>
      </c>
      <c r="Z34" s="50">
        <f>EXP(6.414+(17.26*'Settings WL'!C20)/(237.2+'Settings WL'!C20))*(('Settings WL'!B20)/100)</f>
        <v>3599.7815922698114</v>
      </c>
      <c r="AA34" s="50">
        <f t="shared" si="8"/>
        <v>2921.0833985011636</v>
      </c>
      <c r="AC34" s="48">
        <f>('data WL'!S34/6)*(1+(2*'data WL'!R34)/('data WL'!W34*'data WL'!$B$7*0.01))</f>
        <v>-0.06838678098269224</v>
      </c>
      <c r="AE34" s="48">
        <f>'Settings WL'!C20</f>
        <v>37.8</v>
      </c>
      <c r="AF34" s="48">
        <f t="shared" si="12"/>
        <v>0.06838678098269224</v>
      </c>
      <c r="AG34" s="48">
        <f t="shared" si="13"/>
        <v>-0.14174366766618846</v>
      </c>
      <c r="AH34" s="48">
        <f t="shared" si="9"/>
        <v>-0.2101304486488807</v>
      </c>
      <c r="AI34" s="48">
        <f>'data WL'!AC34+'Settings WL'!C20</f>
        <v>37.731613219017305</v>
      </c>
      <c r="AJ34" s="48">
        <f t="shared" si="14"/>
        <v>37.86838678098269</v>
      </c>
      <c r="AK34" s="48">
        <f>AVERAGE('data ET'!AJ8,AI34)</f>
        <v>37.69242861182446</v>
      </c>
      <c r="AL34" s="48"/>
      <c r="AM34" s="28">
        <v>4</v>
      </c>
      <c r="AN34" s="28">
        <v>2.4957063034862514</v>
      </c>
      <c r="AO34" s="47">
        <f>'Settings ET'!E46+'Settings ET'!F46</f>
        <v>0</v>
      </c>
    </row>
    <row r="35" spans="1:41" ht="12.75">
      <c r="A35" s="47" t="s">
        <v>7</v>
      </c>
      <c r="B35" s="48">
        <f>B9</f>
        <v>61.68</v>
      </c>
      <c r="C35" s="47" t="s">
        <v>8</v>
      </c>
      <c r="H35" s="47">
        <v>5</v>
      </c>
      <c r="I35" s="50"/>
      <c r="J35" s="50">
        <f>('Settings WL'!E21)/('data WL'!$B$9/1000)</f>
        <v>67.0183765469049</v>
      </c>
      <c r="K35" s="50">
        <f t="shared" si="7"/>
        <v>67.0183765469049</v>
      </c>
      <c r="L35" s="50">
        <f>'data WL'!AA35</f>
        <v>2926.7986336673243</v>
      </c>
      <c r="M35" s="51">
        <f>'Settings WL'!D21/('Settings WL'!$B$6*L9)</f>
        <v>2.024754668782253E-06</v>
      </c>
      <c r="N35" s="51">
        <f>M35/(4.68*'Settings ET'!$B$6^-0.33)</f>
        <v>1.6707692307692316E-06</v>
      </c>
      <c r="O35" s="48">
        <f>'data ET'!$B$15/'data ET'!$B$16</f>
        <v>2.0833333333333335</v>
      </c>
      <c r="P35" s="48">
        <f>(('Settings ET'!$B$7/100)*(0.01*'data ET'!$B$7*2))/'data ET'!$B$15</f>
        <v>194.49469192193212</v>
      </c>
      <c r="Q35" s="48">
        <f t="shared" si="10"/>
        <v>15.178334431638902</v>
      </c>
      <c r="R35" s="48">
        <f>IF('Settings ET'!E21/'data ET'!$B$20*'data ET'!$B$19&lt;'data ET'!$B$18,'data ET'!$B$18,('Settings ET'!E21/'data ET'!$B$20*'data ET'!$B$19))</f>
        <v>1.3302079364860775</v>
      </c>
      <c r="S35" s="52">
        <f>((('data WL'!J35+K9)*('data WL'!$B$7*0.01)^2))/(R35*('data WL'!$B$23+'data WL'!$B$24*'data WL'!$B$22))</f>
        <v>-0.022402667151441506</v>
      </c>
      <c r="T35" s="53">
        <f>0.622*EXP(6.414+((17.26*'Settings WL'!C21*'Settings WL'!B21/100)/(237.2+'Settings WL'!C21*'Settings WL'!B21/100)))/('data WL'!$B$21-EXP(6.414+((17.26*'Settings WL'!C21)/(237.2+'Settings WL'!C21))))</f>
        <v>0.016095114800355217</v>
      </c>
      <c r="U35" s="54">
        <f>1.005*'Settings WL'!C21+2500*'data WL'!T9+1.86*'data WL'!T9*'Settings WL'!C21</f>
        <v>79.35840233227141</v>
      </c>
      <c r="V35" s="47">
        <f t="shared" si="11"/>
        <v>0.027</v>
      </c>
      <c r="W35" s="48">
        <f t="shared" si="11"/>
        <v>8.428302605168172</v>
      </c>
      <c r="X35" s="48">
        <f>W9*0.01*'data WL'!$B$7/R9</f>
        <v>0.1540417172434077</v>
      </c>
      <c r="Y35" s="50">
        <f>EXP(6.414+(17.26*'data WL'!AI35)/(237.2+'data WL'!AI35))*((100-0)/100)</f>
        <v>6526.580225937136</v>
      </c>
      <c r="Z35" s="50">
        <f>EXP(6.414+(17.26*'Settings WL'!C21)/(237.2+'Settings WL'!C21))*(('Settings WL'!B21)/100)</f>
        <v>3599.7815922698114</v>
      </c>
      <c r="AA35" s="50">
        <f t="shared" si="8"/>
        <v>2926.7986336673243</v>
      </c>
      <c r="AC35" s="48">
        <f>('data WL'!S35/6)*(1+(2*'data WL'!R35)/('data WL'!W35*'data WL'!$B$7*0.01))</f>
        <v>-0.052211267273647916</v>
      </c>
      <c r="AE35" s="48">
        <f>'Settings WL'!C21</f>
        <v>37.8</v>
      </c>
      <c r="AF35" s="48">
        <f t="shared" si="12"/>
        <v>0.052211267273647916</v>
      </c>
      <c r="AG35" s="48">
        <f t="shared" si="13"/>
        <v>-0.14174366766618846</v>
      </c>
      <c r="AH35" s="48">
        <f t="shared" si="9"/>
        <v>-0.19395493493983637</v>
      </c>
      <c r="AI35" s="48">
        <f>'data WL'!AC35+'Settings WL'!C21</f>
        <v>37.74778873272635</v>
      </c>
      <c r="AJ35" s="48">
        <f t="shared" si="14"/>
        <v>37.852211267273645</v>
      </c>
      <c r="AK35" s="48">
        <f>AVERAGE('data ET'!AJ9,AI35)</f>
        <v>37.711271218801016</v>
      </c>
      <c r="AL35" s="48"/>
      <c r="AM35" s="28">
        <v>5</v>
      </c>
      <c r="AN35" s="28">
        <v>4.041833610626138</v>
      </c>
      <c r="AO35" s="47">
        <f>'Settings ET'!E47+'Settings ET'!F47</f>
        <v>0</v>
      </c>
    </row>
    <row r="36" spans="8:41" ht="12.75">
      <c r="H36" s="47">
        <v>6</v>
      </c>
      <c r="I36" s="50"/>
      <c r="J36" s="50">
        <f>('Settings WL'!E22)/('data WL'!$B$9/1000)</f>
        <v>101.8802570327253</v>
      </c>
      <c r="K36" s="50">
        <f t="shared" si="7"/>
        <v>101.8802570327253</v>
      </c>
      <c r="L36" s="50">
        <f>'data WL'!AA36</f>
        <v>2933.4773690642674</v>
      </c>
      <c r="M36" s="51">
        <f>'Settings WL'!D22/('Settings WL'!$B$6*L10)</f>
        <v>2.024754668782253E-06</v>
      </c>
      <c r="N36" s="51">
        <f>M36/(4.68*'Settings ET'!$B$6^-0.33)</f>
        <v>1.6707692307692316E-06</v>
      </c>
      <c r="O36" s="48">
        <f>'data ET'!$B$15/'data ET'!$B$16</f>
        <v>2.0833333333333335</v>
      </c>
      <c r="P36" s="48">
        <f>(('Settings ET'!$B$7/100)*(0.01*'data ET'!$B$7*2))/'data ET'!$B$15</f>
        <v>194.49469192193212</v>
      </c>
      <c r="Q36" s="48">
        <f t="shared" si="10"/>
        <v>15.178334431638902</v>
      </c>
      <c r="R36" s="48">
        <f>IF('Settings ET'!E22/'data ET'!$B$20*'data ET'!$B$19&lt;'data ET'!$B$18,'data ET'!$B$18,('Settings ET'!E22/'data ET'!$B$20*'data ET'!$B$19))</f>
        <v>2.022160688737714</v>
      </c>
      <c r="S36" s="52">
        <f>((('data WL'!J36+K10)*('data WL'!$B$7*0.01)^2))/(R36*('data WL'!$B$23+'data WL'!$B$24*'data WL'!$B$22))</f>
        <v>-0.009641854971095935</v>
      </c>
      <c r="T36" s="53">
        <f>0.622*EXP(6.414+((17.26*'Settings WL'!C22*'Settings WL'!B22/100)/(237.2+'Settings WL'!C22*'Settings WL'!B22/100)))/('data WL'!$B$21-EXP(6.414+((17.26*'Settings WL'!C22)/(237.2+'Settings WL'!C22))))</f>
        <v>0.016095114800355217</v>
      </c>
      <c r="U36" s="54">
        <f>1.005*'Settings WL'!C22+2500*'data WL'!T10+1.86*'data WL'!T10*'Settings WL'!C22</f>
        <v>79.35840233227141</v>
      </c>
      <c r="V36" s="47">
        <f t="shared" si="11"/>
        <v>0.027</v>
      </c>
      <c r="W36" s="48">
        <f t="shared" si="11"/>
        <v>8.428302605168172</v>
      </c>
      <c r="X36" s="48">
        <f>W10*0.01*'data WL'!$B$7/R10</f>
        <v>0.10133097531187488</v>
      </c>
      <c r="Y36" s="50">
        <f>EXP(6.414+(17.26*'data WL'!AI36)/(237.2+'data WL'!AI36))*((100-0)/100)</f>
        <v>6533.258961334079</v>
      </c>
      <c r="Z36" s="50">
        <f>EXP(6.414+(17.26*'Settings WL'!C22)/(237.2+'Settings WL'!C22))*(('Settings WL'!B22)/100)</f>
        <v>3599.7815922698114</v>
      </c>
      <c r="AA36" s="50">
        <f t="shared" si="8"/>
        <v>2933.4773690642674</v>
      </c>
      <c r="AC36" s="48">
        <f>('data WL'!S36/6)*(1+(2*'data WL'!R36)/('data WL'!W36*'data WL'!$B$7*0.01))</f>
        <v>-0.03332434208439312</v>
      </c>
      <c r="AE36" s="48">
        <f>'Settings WL'!C22</f>
        <v>37.8</v>
      </c>
      <c r="AF36" s="48">
        <f t="shared" si="12"/>
        <v>0.03332434208439312</v>
      </c>
      <c r="AG36" s="48">
        <f t="shared" si="13"/>
        <v>-0.14174366766618846</v>
      </c>
      <c r="AH36" s="48">
        <f t="shared" si="9"/>
        <v>-0.17506800975058157</v>
      </c>
      <c r="AI36" s="48">
        <f>'data WL'!AC36+'Settings WL'!C22</f>
        <v>37.766675657915606</v>
      </c>
      <c r="AJ36" s="48">
        <f t="shared" si="14"/>
        <v>37.83332434208439</v>
      </c>
      <c r="AK36" s="48">
        <f>AVERAGE('data ET'!AJ10,AI36)</f>
        <v>37.73503649174269</v>
      </c>
      <c r="AL36" s="48"/>
      <c r="AM36" s="28">
        <v>6</v>
      </c>
      <c r="AN36" s="28">
        <v>6.144330381472308</v>
      </c>
      <c r="AO36" s="47">
        <f>'Settings ET'!E48+'Settings ET'!F48</f>
        <v>0</v>
      </c>
    </row>
    <row r="37" spans="1:41" ht="12.75">
      <c r="A37" s="47" t="s">
        <v>47</v>
      </c>
      <c r="B37" s="47">
        <v>1</v>
      </c>
      <c r="C37" s="47" t="s">
        <v>53</v>
      </c>
      <c r="H37" s="47">
        <v>7</v>
      </c>
      <c r="I37" s="50"/>
      <c r="J37" s="50">
        <f>('Settings WL'!E23)/('data WL'!$B$9/1000)</f>
        <v>130.5727461068238</v>
      </c>
      <c r="K37" s="50">
        <f t="shared" si="7"/>
        <v>130.5727461068238</v>
      </c>
      <c r="L37" s="50">
        <f>'data WL'!AA37</f>
        <v>2938.677001444407</v>
      </c>
      <c r="M37" s="51">
        <f>'Settings WL'!D23/('Settings WL'!$B$6*L11)</f>
        <v>2.024754668782253E-06</v>
      </c>
      <c r="N37" s="51">
        <f>M37/(4.68*'Settings ET'!$B$6^-0.33)</f>
        <v>1.6707692307692316E-06</v>
      </c>
      <c r="O37" s="48">
        <f>'data ET'!$B$15/'data ET'!$B$16</f>
        <v>2.0833333333333335</v>
      </c>
      <c r="P37" s="48">
        <f>(('Settings ET'!$B$7/100)*(0.01*'data ET'!$B$7*2))/'data ET'!$B$15</f>
        <v>194.49469192193212</v>
      </c>
      <c r="Q37" s="48">
        <f t="shared" si="10"/>
        <v>15.178334431638902</v>
      </c>
      <c r="R37" s="48">
        <f>IF('Settings ET'!E23/'data ET'!$B$20*'data ET'!$B$19&lt;'data ET'!$B$18,'data ET'!$B$18,('Settings ET'!E23/'data ET'!$B$20*'data ET'!$B$19))</f>
        <v>2.5916608564595256</v>
      </c>
      <c r="S37" s="52">
        <f>((('data WL'!J37+K11)*('data WL'!$B$7*0.01)^2))/(R37*('data WL'!$B$23+'data WL'!$B$24*'data WL'!$B$22))</f>
        <v>-0.004251255093295118</v>
      </c>
      <c r="T37" s="53">
        <f>0.622*EXP(6.414+((17.26*'Settings WL'!C23*'Settings WL'!B23/100)/(237.2+'Settings WL'!C23*'Settings WL'!B23/100)))/('data WL'!$B$21-EXP(6.414+((17.26*'Settings WL'!C23)/(237.2+'Settings WL'!C23))))</f>
        <v>0.016095114800355217</v>
      </c>
      <c r="U37" s="54">
        <f>1.005*'Settings WL'!C23+2500*'data WL'!T11+1.86*'data WL'!T11*'Settings WL'!C23</f>
        <v>79.35840233227141</v>
      </c>
      <c r="V37" s="47">
        <f t="shared" si="11"/>
        <v>0.027</v>
      </c>
      <c r="W37" s="48">
        <f t="shared" si="11"/>
        <v>8.428302605168172</v>
      </c>
      <c r="X37" s="48">
        <f>W11*0.01*'data WL'!$B$7/R11</f>
        <v>0.07906417011176758</v>
      </c>
      <c r="Y37" s="50">
        <f>EXP(6.414+(17.26*'data WL'!AI37)/(237.2+'data WL'!AI37))*((100-0)/100)</f>
        <v>6538.458593714218</v>
      </c>
      <c r="Z37" s="50">
        <f>EXP(6.414+(17.26*'Settings WL'!C23)/(237.2+'Settings WL'!C23))*(('Settings WL'!B23)/100)</f>
        <v>3599.7815922698114</v>
      </c>
      <c r="AA37" s="50">
        <f t="shared" si="8"/>
        <v>2938.677001444407</v>
      </c>
      <c r="AC37" s="48">
        <f>('data WL'!S37/6)*(1+(2*'data WL'!R37)/('data WL'!W37*'data WL'!$B$7*0.01))</f>
        <v>-0.018631769042750282</v>
      </c>
      <c r="AE37" s="48">
        <f>'Settings WL'!C23</f>
        <v>37.8</v>
      </c>
      <c r="AF37" s="48">
        <f t="shared" si="12"/>
        <v>0.018631769042750282</v>
      </c>
      <c r="AG37" s="48">
        <f t="shared" si="13"/>
        <v>-0.14174366766618846</v>
      </c>
      <c r="AH37" s="48">
        <f t="shared" si="9"/>
        <v>-0.16037543670893872</v>
      </c>
      <c r="AI37" s="48">
        <f>'data WL'!AC37+'Settings WL'!C23</f>
        <v>37.78136823095725</v>
      </c>
      <c r="AJ37" s="48">
        <f t="shared" si="14"/>
        <v>37.818631769042746</v>
      </c>
      <c r="AK37" s="48">
        <f>AVERAGE('data ET'!AJ11,AI37)</f>
        <v>37.75312112239554</v>
      </c>
      <c r="AL37" s="48"/>
      <c r="AM37" s="28">
        <v>7</v>
      </c>
      <c r="AN37" s="28">
        <v>7.874755269205139</v>
      </c>
      <c r="AO37" s="47">
        <f>'Settings ET'!E49+'Settings ET'!F49</f>
        <v>0</v>
      </c>
    </row>
    <row r="38" spans="8:41" ht="12.75">
      <c r="H38" s="47">
        <v>8</v>
      </c>
      <c r="I38" s="50"/>
      <c r="J38" s="50">
        <f>('Settings WL'!E24)/('data WL'!$B$9/1000)</f>
        <v>185.0119267081336</v>
      </c>
      <c r="K38" s="50">
        <f t="shared" si="7"/>
        <v>185.0119267081336</v>
      </c>
      <c r="L38" s="50">
        <f>'data WL'!AA38</f>
        <v>2948.2807716554603</v>
      </c>
      <c r="M38" s="51">
        <f>'Settings WL'!D24/('Settings WL'!$B$6*L12)</f>
        <v>2.024754668782253E-06</v>
      </c>
      <c r="N38" s="51">
        <f>M38/(4.68*'Settings ET'!$B$6^-0.33)</f>
        <v>1.6707692307692316E-06</v>
      </c>
      <c r="O38" s="48">
        <f>'data ET'!$B$15/'data ET'!$B$16</f>
        <v>2.0833333333333335</v>
      </c>
      <c r="P38" s="48">
        <f>(('Settings ET'!$B$7/100)*(0.01*'data ET'!$B$7*2))/'data ET'!$B$15</f>
        <v>194.49469192193212</v>
      </c>
      <c r="Q38" s="48">
        <f t="shared" si="10"/>
        <v>15.178334431638902</v>
      </c>
      <c r="R38" s="48">
        <f>IF('Settings ET'!E24/'data ET'!$B$20*'data ET'!$B$19&lt;'data ET'!$B$18,'data ET'!$B$18,('Settings ET'!E24/'data ET'!$B$20*'data ET'!$B$19))</f>
        <v>3.6721918066680703</v>
      </c>
      <c r="S38" s="52">
        <f>((('data WL'!J38+K12)*('data WL'!$B$7*0.01)^2))/(R38*('data WL'!$B$23+'data WL'!$B$24*'data WL'!$B$22))</f>
        <v>0.001380850103583715</v>
      </c>
      <c r="T38" s="53">
        <f>0.622*EXP(6.414+((17.26*'Settings WL'!C24*'Settings WL'!B24/100)/(237.2+'Settings WL'!C24*'Settings WL'!B24/100)))/('data WL'!$B$21-EXP(6.414+((17.26*'Settings WL'!C24)/(237.2+'Settings WL'!C24))))</f>
        <v>0.016095114800355217</v>
      </c>
      <c r="U38" s="54">
        <f>1.005*'Settings WL'!C24+2500*'data WL'!T12+1.86*'data WL'!T12*'Settings WL'!C24</f>
        <v>79.35840233227141</v>
      </c>
      <c r="V38" s="47">
        <f t="shared" si="11"/>
        <v>0.027</v>
      </c>
      <c r="W38" s="48">
        <f t="shared" si="11"/>
        <v>8.428302605168172</v>
      </c>
      <c r="X38" s="48">
        <f>W12*0.01*'data WL'!$B$7/R12</f>
        <v>0.05579978541835649</v>
      </c>
      <c r="Y38" s="50">
        <f>EXP(6.414+(17.26*'data WL'!AI38)/(237.2+'data WL'!AI38))*((100-0)/100)</f>
        <v>6548.062363925272</v>
      </c>
      <c r="Z38" s="50">
        <f>EXP(6.414+(17.26*'Settings WL'!C24)/(237.2+'Settings WL'!C24))*(('Settings WL'!B24)/100)</f>
        <v>3599.7815922698114</v>
      </c>
      <c r="AA38" s="50">
        <f t="shared" si="8"/>
        <v>2948.2807716554603</v>
      </c>
      <c r="AC38" s="48">
        <f>('data WL'!S38/6)*(1+(2*'data WL'!R38)/('data WL'!W38*'data WL'!$B$7*0.01))</f>
        <v>0.0084789792808906</v>
      </c>
      <c r="AE38" s="48">
        <f>'Settings WL'!C24</f>
        <v>37.8</v>
      </c>
      <c r="AF38" s="48">
        <f t="shared" si="12"/>
        <v>0.0084789792808906</v>
      </c>
      <c r="AG38" s="48">
        <f t="shared" si="13"/>
        <v>-0.14174366766618846</v>
      </c>
      <c r="AH38" s="48">
        <f t="shared" si="9"/>
        <v>-0.13326468838529787</v>
      </c>
      <c r="AI38" s="48">
        <f>'data WL'!AC38+'Settings WL'!C24</f>
        <v>37.808478979280885</v>
      </c>
      <c r="AJ38" s="48">
        <f t="shared" si="14"/>
        <v>37.808478979280885</v>
      </c>
      <c r="AK38" s="48">
        <f>AVERAGE('data ET'!AJ12,AI38)</f>
        <v>37.78783580696728</v>
      </c>
      <c r="AL38" s="48"/>
      <c r="AM38" s="28">
        <v>8</v>
      </c>
      <c r="AN38" s="28">
        <v>11.157945958483065</v>
      </c>
      <c r="AO38" s="47">
        <f>'Settings ET'!E50+'Settings ET'!F50</f>
        <v>0</v>
      </c>
    </row>
    <row r="39" spans="5:41" ht="12.75">
      <c r="E39" s="55" t="s">
        <v>33</v>
      </c>
      <c r="H39" s="47">
        <v>9</v>
      </c>
      <c r="I39" s="50"/>
      <c r="J39" s="50">
        <f>('Settings WL'!E25)/('data WL'!$B$9/1000)</f>
        <v>255.25608946920056</v>
      </c>
      <c r="K39" s="50">
        <f t="shared" si="7"/>
        <v>255.25608946920056</v>
      </c>
      <c r="L39" s="50">
        <f>'data WL'!AA39</f>
        <v>2960.480730576725</v>
      </c>
      <c r="M39" s="51">
        <f>'Settings WL'!D25/('Settings WL'!$B$6*L13)</f>
        <v>2.024754668782253E-06</v>
      </c>
      <c r="N39" s="51">
        <f>M39/(4.68*'Settings ET'!$B$6^-0.33)</f>
        <v>1.6707692307692316E-06</v>
      </c>
      <c r="O39" s="48">
        <f>'data ET'!$B$15/'data ET'!$B$16</f>
        <v>2.0833333333333335</v>
      </c>
      <c r="P39" s="48">
        <f>(('Settings ET'!$B$7/100)*(0.01*'data ET'!$B$7*2))/'data ET'!$B$15</f>
        <v>194.49469192193212</v>
      </c>
      <c r="Q39" s="48">
        <f t="shared" si="10"/>
        <v>15.178334431638902</v>
      </c>
      <c r="R39" s="48">
        <f>IF('Settings ET'!E25/'data ET'!$B$20*'data ET'!$B$19&lt;'data ET'!$B$18,'data ET'!$B$18,('Settings ET'!E25/'data ET'!$B$20*'data ET'!$B$19))</f>
        <v>5.066426457088088</v>
      </c>
      <c r="S39" s="52">
        <f>((('data WL'!J39+K13)*('data WL'!$B$7*0.01)^2))/(R39*('data WL'!$B$23+'data WL'!$B$24*'data WL'!$B$22))</f>
        <v>0.005098306174600736</v>
      </c>
      <c r="T39" s="53">
        <f>0.622*EXP(6.414+((17.26*'Settings WL'!C25*'Settings WL'!B25/100)/(237.2+'Settings WL'!C25*'Settings WL'!B25/100)))/('data WL'!$B$21-EXP(6.414+((17.26*'Settings WL'!C25)/(237.2+'Settings WL'!C25))))</f>
        <v>0.016095114800355217</v>
      </c>
      <c r="U39" s="54">
        <f>1.005*'Settings WL'!C25+2500*'data WL'!T13+1.86*'data WL'!T13*'Settings WL'!C25</f>
        <v>79.35840233227141</v>
      </c>
      <c r="V39" s="47">
        <f t="shared" si="11"/>
        <v>0.027</v>
      </c>
      <c r="W39" s="48">
        <f t="shared" si="11"/>
        <v>8.428302605168172</v>
      </c>
      <c r="X39" s="48">
        <f>W13*0.01*'data WL'!$B$7/R13</f>
        <v>0.040444190113616114</v>
      </c>
      <c r="Y39" s="50">
        <f>EXP(6.414+(17.26*'data WL'!AI39)/(237.2+'data WL'!AI39))*((100-0)/100)</f>
        <v>6560.262322846536</v>
      </c>
      <c r="Z39" s="50">
        <f>EXP(6.414+(17.26*'Settings WL'!C25)/(237.2+'Settings WL'!C25))*(('Settings WL'!B25)/100)</f>
        <v>3599.7815922698114</v>
      </c>
      <c r="AA39" s="50">
        <f t="shared" si="8"/>
        <v>2960.480730576725</v>
      </c>
      <c r="AC39" s="48">
        <f>('data WL'!S39/6)*(1+(2*'data WL'!R39)/('data WL'!W39*'data WL'!$B$7*0.01))</f>
        <v>0.042868988863257414</v>
      </c>
      <c r="AE39" s="48">
        <f>'Settings WL'!C25</f>
        <v>37.8</v>
      </c>
      <c r="AF39" s="48">
        <f t="shared" si="12"/>
        <v>0.042868988863257414</v>
      </c>
      <c r="AG39" s="48">
        <f t="shared" si="13"/>
        <v>-0.14174366766618846</v>
      </c>
      <c r="AH39" s="48">
        <f t="shared" si="9"/>
        <v>-0.09887467880293105</v>
      </c>
      <c r="AI39" s="48">
        <f>'data WL'!AC39+'Settings WL'!C25</f>
        <v>37.84286898886325</v>
      </c>
      <c r="AJ39" s="48">
        <f t="shared" si="14"/>
        <v>37.84286898886325</v>
      </c>
      <c r="AK39" s="48">
        <f>AVERAGE('data ET'!AJ13,AI39)</f>
        <v>37.82972725532299</v>
      </c>
      <c r="AL39" s="48"/>
      <c r="AM39" s="28">
        <v>9</v>
      </c>
      <c r="AN39" s="28">
        <v>15.394324585161172</v>
      </c>
      <c r="AO39" s="47">
        <f>'Settings ET'!E51+'Settings ET'!F51</f>
        <v>0</v>
      </c>
    </row>
    <row r="40" spans="1:41" ht="12.75">
      <c r="A40" s="47" t="s">
        <v>14</v>
      </c>
      <c r="B40" s="47">
        <v>0.905</v>
      </c>
      <c r="C40" s="47">
        <f>B40*10^-10*'Settings ET'!$B$6^-0.33</f>
        <v>2.343466051831311E-11</v>
      </c>
      <c r="D40" s="47" t="s">
        <v>12</v>
      </c>
      <c r="H40" s="47">
        <v>10</v>
      </c>
      <c r="I40" s="50"/>
      <c r="J40" s="50">
        <f>('Settings WL'!E26)/('data WL'!$B$9/1000)</f>
        <v>357.2496891797464</v>
      </c>
      <c r="K40" s="50">
        <f t="shared" si="7"/>
        <v>357.2496891797464</v>
      </c>
      <c r="L40" s="50">
        <f>'data WL'!AA40</f>
        <v>2978.0755867128323</v>
      </c>
      <c r="M40" s="51">
        <f>'Settings WL'!D26/('Settings WL'!$B$6*L14)</f>
        <v>2.024754668782253E-06</v>
      </c>
      <c r="N40" s="51">
        <f>M40/(4.68*'Settings ET'!$B$6^-0.33)</f>
        <v>1.6707692307692316E-06</v>
      </c>
      <c r="O40" s="48">
        <f>'data ET'!$B$15/'data ET'!$B$16</f>
        <v>2.0833333333333335</v>
      </c>
      <c r="P40" s="48">
        <f>(('Settings ET'!$B$7/100)*(0.01*'data ET'!$B$7*2))/'data ET'!$B$15</f>
        <v>194.49469192193212</v>
      </c>
      <c r="Q40" s="48">
        <f t="shared" si="10"/>
        <v>15.178334431638902</v>
      </c>
      <c r="R40" s="48">
        <f>IF('Settings ET'!E26/'data ET'!$B$20*'data ET'!$B$19&lt;'data ET'!$B$18,'data ET'!$B$18,('Settings ET'!E26/'data ET'!$B$20*'data ET'!$B$19))</f>
        <v>7.090836817294252</v>
      </c>
      <c r="S40" s="52">
        <f>((('data WL'!J40+K14)*('data WL'!$B$7*0.01)^2))/(R40*('data WL'!$B$23+'data WL'!$B$24*'data WL'!$B$22))</f>
        <v>0.007893657449280956</v>
      </c>
      <c r="T40" s="53">
        <f>0.622*EXP(6.414+((17.26*'Settings WL'!C26*'Settings WL'!B26/100)/(237.2+'Settings WL'!C26*'Settings WL'!B26/100)))/('data WL'!$B$21-EXP(6.414+((17.26*'Settings WL'!C26)/(237.2+'Settings WL'!C26))))</f>
        <v>0.016095114800355217</v>
      </c>
      <c r="U40" s="54">
        <f>1.005*'Settings WL'!C26+2500*'data WL'!T14+1.86*'data WL'!T14*'Settings WL'!C26</f>
        <v>79.35840233227141</v>
      </c>
      <c r="V40" s="47">
        <f t="shared" si="11"/>
        <v>0.027</v>
      </c>
      <c r="W40" s="48">
        <f t="shared" si="11"/>
        <v>8.428302605168172</v>
      </c>
      <c r="X40" s="48">
        <f>W14*0.01*'data WL'!$B$7/R14</f>
        <v>0.028897508165378224</v>
      </c>
      <c r="Y40" s="50">
        <f>EXP(6.414+(17.26*'data WL'!AI40)/(237.2+'data WL'!AI40))*((100-0)/100)</f>
        <v>6577.857178982644</v>
      </c>
      <c r="Z40" s="50">
        <f>EXP(6.414+(17.26*'Settings WL'!C26)/(237.2+'Settings WL'!C26))*(('Settings WL'!B26)/100)</f>
        <v>3599.7815922698114</v>
      </c>
      <c r="AA40" s="50">
        <f t="shared" si="8"/>
        <v>2978.0755867128323</v>
      </c>
      <c r="AC40" s="48">
        <f>('data WL'!S40/6)*(1+(2*'data WL'!R40)/('data WL'!W40*'data WL'!$B$7*0.01))</f>
        <v>0.09236910576915594</v>
      </c>
      <c r="AE40" s="48">
        <f>'Settings WL'!C26</f>
        <v>37.8</v>
      </c>
      <c r="AF40" s="48">
        <f t="shared" si="12"/>
        <v>0.09236910576915594</v>
      </c>
      <c r="AG40" s="48">
        <f t="shared" si="13"/>
        <v>-0.14174366766618846</v>
      </c>
      <c r="AH40" s="48">
        <f t="shared" si="9"/>
        <v>-0.049374561897032515</v>
      </c>
      <c r="AI40" s="48">
        <f>'data WL'!AC40+'Settings WL'!C26</f>
        <v>37.892369105769156</v>
      </c>
      <c r="AJ40" s="48">
        <f t="shared" si="14"/>
        <v>37.892369105769156</v>
      </c>
      <c r="AK40" s="48">
        <f>AVERAGE('data ET'!AJ14,AI40)</f>
        <v>37.88854556407361</v>
      </c>
      <c r="AL40" s="48"/>
      <c r="AM40" s="28">
        <v>10</v>
      </c>
      <c r="AN40" s="28">
        <v>21.545490587971052</v>
      </c>
      <c r="AO40" s="47">
        <f>'Settings ET'!E52+'Settings ET'!F52</f>
        <v>0</v>
      </c>
    </row>
    <row r="41" spans="1:41" ht="12.75">
      <c r="A41" s="47" t="s">
        <v>20</v>
      </c>
      <c r="B41" s="47">
        <f>2.5*10^-5</f>
        <v>2.5E-05</v>
      </c>
      <c r="C41" s="47" t="s">
        <v>19</v>
      </c>
      <c r="H41" s="47">
        <v>11</v>
      </c>
      <c r="I41" s="50"/>
      <c r="J41" s="50">
        <f>('Settings WL'!E27)/('data WL'!$B$9/1000)</f>
        <v>494.6315301464995</v>
      </c>
      <c r="K41" s="50">
        <f t="shared" si="7"/>
        <v>494.6315301464995</v>
      </c>
      <c r="L41" s="50">
        <f>'data WL'!AA41</f>
        <v>3001.731393996805</v>
      </c>
      <c r="M41" s="51">
        <f>'Settings WL'!D27/('Settings WL'!$B$6*L15)</f>
        <v>2.024754668782253E-06</v>
      </c>
      <c r="N41" s="51">
        <f>M41/(4.68*'Settings ET'!$B$6^-0.33)</f>
        <v>1.6707692307692316E-06</v>
      </c>
      <c r="O41" s="48">
        <f>'data ET'!$B$15/'data ET'!$B$16</f>
        <v>2.0833333333333335</v>
      </c>
      <c r="P41" s="48">
        <f>(('Settings ET'!$B$7/100)*(0.01*'data ET'!$B$7*2))/'data ET'!$B$15</f>
        <v>194.49469192193212</v>
      </c>
      <c r="Q41" s="48">
        <f t="shared" si="10"/>
        <v>15.178334431638902</v>
      </c>
      <c r="R41" s="48">
        <f>IF('Settings ET'!E27/'data ET'!$B$20*'data ET'!$B$19&lt;'data ET'!$B$18,'data ET'!$B$18,('Settings ET'!E27/'data ET'!$B$20*'data ET'!$B$19))</f>
        <v>9.817647351941302</v>
      </c>
      <c r="S41" s="52">
        <f>((('data WL'!J41+K15)*('data WL'!$B$7*0.01)^2))/(R41*('data WL'!$B$23+'data WL'!$B$24*'data WL'!$B$22))</f>
        <v>0.009836721502600959</v>
      </c>
      <c r="T41" s="53">
        <f>0.622*EXP(6.414+((17.26*'Settings WL'!C27*'Settings WL'!B27/100)/(237.2+'Settings WL'!C27*'Settings WL'!B27/100)))/('data WL'!$B$21-EXP(6.414+((17.26*'Settings WL'!C27)/(237.2+'Settings WL'!C27))))</f>
        <v>0.016095114800355217</v>
      </c>
      <c r="U41" s="54">
        <f>1.005*'Settings WL'!C27+2500*'data WL'!T15+1.86*'data WL'!T15*'Settings WL'!C27</f>
        <v>79.35840233227141</v>
      </c>
      <c r="V41" s="47">
        <f t="shared" si="11"/>
        <v>0.027</v>
      </c>
      <c r="W41" s="48">
        <f t="shared" si="11"/>
        <v>8.428302605168172</v>
      </c>
      <c r="X41" s="48">
        <f>W15*0.01*'data WL'!$B$7/R15</f>
        <v>0.02087134600394947</v>
      </c>
      <c r="Y41" s="50">
        <f>EXP(6.414+(17.26*'data WL'!AI41)/(237.2+'data WL'!AI41))*((100-0)/100)</f>
        <v>6601.512986266616</v>
      </c>
      <c r="Z41" s="50">
        <f>EXP(6.414+(17.26*'Settings WL'!C27)/(237.2+'Settings WL'!C27))*(('Settings WL'!B27)/100)</f>
        <v>3599.7815922698114</v>
      </c>
      <c r="AA41" s="50">
        <f t="shared" si="8"/>
        <v>3001.731393996805</v>
      </c>
      <c r="AC41" s="48">
        <f>('data WL'!S41/6)*(1+(2*'data WL'!R41)/('data WL'!W41*'data WL'!$B$7*0.01))</f>
        <v>0.15874035004311296</v>
      </c>
      <c r="AE41" s="48">
        <f>'Settings WL'!C27</f>
        <v>37.8</v>
      </c>
      <c r="AF41" s="48">
        <f t="shared" si="12"/>
        <v>0.15874035004311296</v>
      </c>
      <c r="AG41" s="48">
        <f t="shared" si="13"/>
        <v>-0.14174366766618846</v>
      </c>
      <c r="AH41" s="48">
        <f t="shared" si="9"/>
        <v>0.016996682376924505</v>
      </c>
      <c r="AI41" s="48">
        <f>'data WL'!AC41+'Settings WL'!C27</f>
        <v>37.95874035004311</v>
      </c>
      <c r="AJ41" s="48">
        <f t="shared" si="14"/>
        <v>37.95874035004311</v>
      </c>
      <c r="AK41" s="48">
        <f>AVERAGE('data ET'!AJ15,AI41)</f>
        <v>37.96301164363312</v>
      </c>
      <c r="AL41" s="48"/>
      <c r="AM41" s="28">
        <v>11</v>
      </c>
      <c r="AN41" s="28">
        <v>29.83089782878195</v>
      </c>
      <c r="AO41" s="47">
        <f>'Settings ET'!E53+'Settings ET'!F53</f>
        <v>0</v>
      </c>
    </row>
    <row r="42" spans="1:41" ht="12.75">
      <c r="A42" s="47" t="s">
        <v>18</v>
      </c>
      <c r="B42" s="47">
        <f>1.2*10^-5</f>
        <v>1.2E-05</v>
      </c>
      <c r="C42" s="47" t="s">
        <v>19</v>
      </c>
      <c r="H42" s="47">
        <v>12</v>
      </c>
      <c r="I42" s="50"/>
      <c r="J42" s="50">
        <f>('Settings WL'!E28)/('data WL'!$B$9/1000)</f>
        <v>751.7831287517246</v>
      </c>
      <c r="K42" s="50">
        <f t="shared" si="7"/>
        <v>751.7831287517246</v>
      </c>
      <c r="L42" s="50">
        <f>'data WL'!AA42</f>
        <v>3046.094131337288</v>
      </c>
      <c r="M42" s="51">
        <f>'Settings WL'!D28/('Settings WL'!$B$6*L16)</f>
        <v>2.024754668782253E-06</v>
      </c>
      <c r="N42" s="51">
        <f>M42/(4.68*'Settings ET'!$B$6^-0.33)</f>
        <v>1.6707692307692316E-06</v>
      </c>
      <c r="O42" s="48">
        <f>'data ET'!$B$15/'data ET'!$B$16</f>
        <v>2.0833333333333335</v>
      </c>
      <c r="P42" s="48">
        <f>(('Settings ET'!$B$7/100)*(0.01*'data ET'!$B$7*2))/'data ET'!$B$15</f>
        <v>194.49469192193212</v>
      </c>
      <c r="Q42" s="48">
        <f t="shared" si="10"/>
        <v>15.178334431638902</v>
      </c>
      <c r="R42" s="48">
        <f>IF('Settings ET'!E28/'data ET'!$B$20*'data ET'!$B$19&lt;'data ET'!$B$18,'data ET'!$B$18,('Settings ET'!E28/'data ET'!$B$20*'data ET'!$B$19))</f>
        <v>14.92169664363591</v>
      </c>
      <c r="S42" s="52">
        <f>((('data WL'!J42+K16)*('data WL'!$B$7*0.01)^2))/(R42*('data WL'!$B$23+'data WL'!$B$24*'data WL'!$B$22))</f>
        <v>0.011565050030580936</v>
      </c>
      <c r="T42" s="53">
        <f>0.622*EXP(6.414+((17.26*'Settings WL'!C28*'Settings WL'!B28/100)/(237.2+'Settings WL'!C28*'Settings WL'!B28/100)))/('data WL'!$B$21-EXP(6.414+((17.26*'Settings WL'!C28)/(237.2+'Settings WL'!C28))))</f>
        <v>0.016095114800355217</v>
      </c>
      <c r="U42" s="54">
        <f>1.005*'Settings WL'!C28+2500*'data WL'!T16+1.86*'data WL'!T16*'Settings WL'!C28</f>
        <v>79.35840233227141</v>
      </c>
      <c r="V42" s="47">
        <f t="shared" si="11"/>
        <v>0.027</v>
      </c>
      <c r="W42" s="48">
        <f t="shared" si="11"/>
        <v>8.428302605168172</v>
      </c>
      <c r="X42" s="48">
        <f>W16*0.01*'data WL'!$B$7/R16</f>
        <v>0.013732186072454305</v>
      </c>
      <c r="Y42" s="50">
        <f>EXP(6.414+(17.26*'data WL'!AI42)/(237.2+'data WL'!AI42))*((100-0)/100)</f>
        <v>6645.8757236071</v>
      </c>
      <c r="Z42" s="50">
        <f>EXP(6.414+(17.26*'Settings WL'!C28)/(237.2+'Settings WL'!C28))*(('Settings WL'!B28)/100)</f>
        <v>3599.7815922698114</v>
      </c>
      <c r="AA42" s="50">
        <f t="shared" si="8"/>
        <v>3046.094131337288</v>
      </c>
      <c r="AC42" s="48">
        <f>('data WL'!S42/6)*(1+(2*'data WL'!R42)/('data WL'!W42*'data WL'!$B$7*0.01))</f>
        <v>0.28265605778571556</v>
      </c>
      <c r="AE42" s="48">
        <f>'Settings WL'!C28</f>
        <v>37.8</v>
      </c>
      <c r="AF42" s="48">
        <f t="shared" si="12"/>
        <v>0.28265605778571556</v>
      </c>
      <c r="AG42" s="48">
        <f t="shared" si="13"/>
        <v>-0.14174366766618846</v>
      </c>
      <c r="AH42" s="48">
        <f t="shared" si="9"/>
        <v>0.1409123901195271</v>
      </c>
      <c r="AI42" s="48">
        <f>'data WL'!AC42+'Settings WL'!C28</f>
        <v>38.08265605778571</v>
      </c>
      <c r="AJ42" s="48">
        <f t="shared" si="14"/>
        <v>38.08265605778571</v>
      </c>
      <c r="AK42" s="48">
        <f>AVERAGE('data ET'!AJ16,AI42)</f>
        <v>38.099364229955725</v>
      </c>
      <c r="AL42" s="48"/>
      <c r="AM42" s="28">
        <v>12</v>
      </c>
      <c r="AN42" s="28">
        <v>45.339539306264015</v>
      </c>
      <c r="AO42" s="47">
        <f>'Settings ET'!E54+'Settings ET'!F54</f>
        <v>0</v>
      </c>
    </row>
    <row r="43" spans="1:41" ht="12.75">
      <c r="A43" s="47" t="s">
        <v>21</v>
      </c>
      <c r="B43" s="47">
        <v>0.027</v>
      </c>
      <c r="C43" s="47" t="s">
        <v>22</v>
      </c>
      <c r="H43" s="47">
        <v>13</v>
      </c>
      <c r="I43" s="50"/>
      <c r="J43" s="50">
        <f>('Settings WL'!E29)/('data WL'!$B$9/1000)</f>
        <v>1106.2995007129978</v>
      </c>
      <c r="K43" s="50">
        <f t="shared" si="7"/>
        <v>1106.2995007129978</v>
      </c>
      <c r="L43" s="50">
        <f>'data WL'!AA43</f>
        <v>3107.5973218624463</v>
      </c>
      <c r="M43" s="51">
        <f>'Settings WL'!D29/('Settings WL'!$B$6*L17)</f>
        <v>2.024754668782253E-06</v>
      </c>
      <c r="N43" s="51">
        <f>M43/(4.68*'Settings ET'!$B$6^-0.33)</f>
        <v>1.6707692307692316E-06</v>
      </c>
      <c r="O43" s="48">
        <f>'data ET'!$B$15/'data ET'!$B$16</f>
        <v>2.0833333333333335</v>
      </c>
      <c r="P43" s="48">
        <f>(('Settings ET'!$B$7/100)*(0.01*'data ET'!$B$7*2))/'data ET'!$B$15</f>
        <v>194.49469192193212</v>
      </c>
      <c r="Q43" s="48">
        <f t="shared" si="10"/>
        <v>15.178334431638902</v>
      </c>
      <c r="R43" s="48">
        <f>IF('Settings ET'!E29/'data ET'!$B$20*'data ET'!$B$19&lt;'data ET'!$B$18,'data ET'!$B$18,('Settings ET'!E29/'data ET'!$B$20*'data ET'!$B$19))</f>
        <v>21.958281471486607</v>
      </c>
      <c r="S43" s="52">
        <f>((('data WL'!J43+K17)*('data WL'!$B$7*0.01)^2))/(R43*('data WL'!$B$23+'data WL'!$B$24*'data WL'!$B$22))</f>
        <v>0.01263037583508903</v>
      </c>
      <c r="T43" s="53">
        <f>0.622*EXP(6.414+((17.26*'Settings WL'!C29*'Settings WL'!B29/100)/(237.2+'Settings WL'!C29*'Settings WL'!B29/100)))/('data WL'!$B$21-EXP(6.414+((17.26*'Settings WL'!C29)/(237.2+'Settings WL'!C29))))</f>
        <v>0.016095114800355217</v>
      </c>
      <c r="U43" s="54">
        <f>1.005*'Settings WL'!C29+2500*'data WL'!T17+1.86*'data WL'!T17*'Settings WL'!C29</f>
        <v>79.35840233227141</v>
      </c>
      <c r="V43" s="47">
        <f t="shared" si="11"/>
        <v>0.027</v>
      </c>
      <c r="W43" s="48">
        <f t="shared" si="11"/>
        <v>8.428302605168172</v>
      </c>
      <c r="X43" s="48">
        <f>W17*0.01*'data WL'!$B$7/R17</f>
        <v>0.009331673568954058</v>
      </c>
      <c r="Y43" s="50">
        <f>EXP(6.414+(17.26*'data WL'!AI43)/(237.2+'data WL'!AI43))*((100-0)/100)</f>
        <v>6707.378914132258</v>
      </c>
      <c r="Z43" s="50">
        <f>EXP(6.414+(17.26*'Settings WL'!C29)/(237.2+'Settings WL'!C29))*(('Settings WL'!B29)/100)</f>
        <v>3599.7815922698114</v>
      </c>
      <c r="AA43" s="50">
        <f t="shared" si="8"/>
        <v>3107.5973218624463</v>
      </c>
      <c r="AC43" s="48">
        <f>('data WL'!S43/6)*(1+(2*'data WL'!R43)/('data WL'!W43*'data WL'!$B$7*0.01))</f>
        <v>0.45327014543524674</v>
      </c>
      <c r="AE43" s="48">
        <f>'Settings WL'!C29</f>
        <v>37.8</v>
      </c>
      <c r="AF43" s="48">
        <f t="shared" si="12"/>
        <v>0.45327014543524674</v>
      </c>
      <c r="AG43" s="48">
        <f t="shared" si="13"/>
        <v>-0.14174366766618846</v>
      </c>
      <c r="AH43" s="48">
        <f t="shared" si="9"/>
        <v>0.3115264777690583</v>
      </c>
      <c r="AI43" s="48">
        <f>'data WL'!AC43+'Settings WL'!C29</f>
        <v>38.253270145435245</v>
      </c>
      <c r="AJ43" s="48">
        <f t="shared" si="14"/>
        <v>38.253270145435245</v>
      </c>
      <c r="AK43" s="48">
        <f>AVERAGE('data ET'!AJ17,AI43)</f>
        <v>38.26474642363972</v>
      </c>
      <c r="AL43" s="48"/>
      <c r="AM43" s="28">
        <v>13</v>
      </c>
      <c r="AN43" s="28">
        <v>66.72018535500042</v>
      </c>
      <c r="AO43" s="47">
        <f>'Settings ET'!E55+'Settings ET'!F55</f>
        <v>0</v>
      </c>
    </row>
    <row r="44" spans="1:41" ht="12.75">
      <c r="A44" s="47" t="s">
        <v>25</v>
      </c>
      <c r="B44" s="47">
        <v>0.5</v>
      </c>
      <c r="C44" s="47" t="s">
        <v>22</v>
      </c>
      <c r="H44" s="47">
        <v>14</v>
      </c>
      <c r="I44" s="50"/>
      <c r="J44" s="50">
        <f>('Settings WL'!E30)/('data WL'!$B$9/1000)</f>
        <v>1527.582973284364</v>
      </c>
      <c r="K44" s="50">
        <f t="shared" si="7"/>
        <v>1527.582973284364</v>
      </c>
      <c r="L44" s="50">
        <f>'data WL'!AA44</f>
        <v>3181.2843806008873</v>
      </c>
      <c r="M44" s="51">
        <f>'Settings WL'!D30/('Settings WL'!$B$6*L18)</f>
        <v>2.024754668782253E-06</v>
      </c>
      <c r="N44" s="51">
        <f>M44/(4.68*'Settings ET'!$B$6^-0.33)</f>
        <v>1.6707692307692316E-06</v>
      </c>
      <c r="O44" s="48">
        <f>'data ET'!$B$15/'data ET'!$B$16</f>
        <v>2.0833333333333335</v>
      </c>
      <c r="P44" s="48">
        <f>(('Settings ET'!$B$7/100)*(0.01*'data ET'!$B$7*2))/'data ET'!$B$15</f>
        <v>194.49469192193212</v>
      </c>
      <c r="Q44" s="48">
        <f t="shared" si="10"/>
        <v>15.178334431638902</v>
      </c>
      <c r="R44" s="48">
        <f>IF('Settings ET'!E30/'data ET'!$B$20*'data ET'!$B$19&lt;'data ET'!$B$18,'data ET'!$B$18,('Settings ET'!E30/'data ET'!$B$20*'data ET'!$B$19))</f>
        <v>30.32008680905154</v>
      </c>
      <c r="S44" s="52">
        <f>((('data WL'!J44+K18)*('data WL'!$B$7*0.01)^2))/(R44*('data WL'!$B$23+'data WL'!$B$24*'data WL'!$B$22))</f>
        <v>0.013253404944366871</v>
      </c>
      <c r="T44" s="53">
        <f>0.622*EXP(6.414+((17.26*'Settings WL'!C30*'Settings WL'!B30/100)/(237.2+'Settings WL'!C30*'Settings WL'!B30/100)))/('data WL'!$B$21-EXP(6.414+((17.26*'Settings WL'!C30)/(237.2+'Settings WL'!C30))))</f>
        <v>0.016095114800355217</v>
      </c>
      <c r="U44" s="54">
        <f>1.005*'Settings WL'!C30+2500*'data WL'!T18+1.86*'data WL'!T18*'Settings WL'!C30</f>
        <v>79.35840233227141</v>
      </c>
      <c r="V44" s="47">
        <f t="shared" si="11"/>
        <v>0.027</v>
      </c>
      <c r="W44" s="48">
        <f t="shared" si="11"/>
        <v>8.428302605168172</v>
      </c>
      <c r="X44" s="48">
        <f>W18*0.01*'data WL'!$B$7/R18</f>
        <v>0.006758144068570199</v>
      </c>
      <c r="Y44" s="50">
        <f>EXP(6.414+(17.26*'data WL'!AI44)/(237.2+'data WL'!AI44))*((100-0)/100)</f>
        <v>6781.065972870699</v>
      </c>
      <c r="Z44" s="50">
        <f>EXP(6.414+(17.26*'Settings WL'!C30)/(237.2+'Settings WL'!C30))*(('Settings WL'!B30)/100)</f>
        <v>3599.7815922698114</v>
      </c>
      <c r="AA44" s="50">
        <f t="shared" si="8"/>
        <v>3181.2843806008873</v>
      </c>
      <c r="AC44" s="48">
        <f>('data WL'!S44/6)*(1+(2*'data WL'!R44)/('data WL'!W44*'data WL'!$B$7*0.01))</f>
        <v>0.6559093255705482</v>
      </c>
      <c r="AE44" s="48">
        <f>'Settings WL'!C30</f>
        <v>37.8</v>
      </c>
      <c r="AF44" s="48">
        <f t="shared" si="12"/>
        <v>0.6559093255705482</v>
      </c>
      <c r="AG44" s="48">
        <f t="shared" si="13"/>
        <v>-0.14174366766618846</v>
      </c>
      <c r="AH44" s="48">
        <f t="shared" si="9"/>
        <v>0.5141656579043596</v>
      </c>
      <c r="AI44" s="48">
        <f>'data WL'!AC44+'Settings WL'!C30</f>
        <v>38.455909325570545</v>
      </c>
      <c r="AJ44" s="48">
        <f t="shared" si="14"/>
        <v>38.455909325570545</v>
      </c>
      <c r="AK44" s="48">
        <f>AVERAGE('data ET'!AJ18,AI44)</f>
        <v>38.44626993829776</v>
      </c>
      <c r="AL44" s="48"/>
      <c r="AM44" s="28">
        <v>14</v>
      </c>
      <c r="AN44" s="28">
        <v>92.12751073013115</v>
      </c>
      <c r="AO44" s="47">
        <f>'Settings ET'!E56+'Settings ET'!F56</f>
        <v>0</v>
      </c>
    </row>
    <row r="45" spans="1:41" ht="12.75">
      <c r="A45" s="47" t="s">
        <v>24</v>
      </c>
      <c r="B45" s="47">
        <v>50</v>
      </c>
      <c r="C45" s="47" t="s">
        <v>22</v>
      </c>
      <c r="H45" s="47">
        <v>15</v>
      </c>
      <c r="I45" s="50"/>
      <c r="J45" s="50">
        <f>('Settings WL'!E31)/('data WL'!$B$9/1000)</f>
        <v>1927.9530433352154</v>
      </c>
      <c r="K45" s="50">
        <f t="shared" si="7"/>
        <v>1927.9530433352154</v>
      </c>
      <c r="L45" s="50">
        <f>'data WL'!AA45</f>
        <v>3251.946124414781</v>
      </c>
      <c r="M45" s="51">
        <f>'Settings WL'!D31/('Settings WL'!$B$6*L19)</f>
        <v>2.024754668782253E-06</v>
      </c>
      <c r="N45" s="51">
        <f>M45/(4.68*'Settings ET'!$B$6^-0.33)</f>
        <v>1.6707692307692316E-06</v>
      </c>
      <c r="O45" s="48">
        <f>'data ET'!$B$15/'data ET'!$B$16</f>
        <v>2.0833333333333335</v>
      </c>
      <c r="P45" s="48">
        <f>(('Settings ET'!$B$7/100)*(0.01*'data ET'!$B$7*2))/'data ET'!$B$15</f>
        <v>194.49469192193212</v>
      </c>
      <c r="Q45" s="48">
        <f t="shared" si="10"/>
        <v>15.178334431638902</v>
      </c>
      <c r="R45" s="48">
        <f>IF('Settings ET'!E31/'data ET'!$B$20*'data ET'!$B$19&lt;'data ET'!$B$18,'data ET'!$B$18,('Settings ET'!E31/'data ET'!$B$20*'data ET'!$B$19))</f>
        <v>38.26679444587992</v>
      </c>
      <c r="S45" s="52">
        <f>((('data WL'!J45+K19)*('data WL'!$B$7*0.01)^2))/(R45*('data WL'!$B$23+'data WL'!$B$24*'data WL'!$B$22))</f>
        <v>0.01359316458215875</v>
      </c>
      <c r="T45" s="53">
        <f>0.622*EXP(6.414+((17.26*'Settings WL'!C31*'Settings WL'!B31/100)/(237.2+'Settings WL'!C31*'Settings WL'!B31/100)))/('data WL'!$B$21-EXP(6.414+((17.26*'Settings WL'!C31)/(237.2+'Settings WL'!C31))))</f>
        <v>0.016095114800355217</v>
      </c>
      <c r="U45" s="54">
        <f>1.005*'Settings WL'!C31+2500*'data WL'!T19+1.86*'data WL'!T19*'Settings WL'!C31</f>
        <v>79.35840233227141</v>
      </c>
      <c r="V45" s="47">
        <f t="shared" si="11"/>
        <v>0.027</v>
      </c>
      <c r="W45" s="48">
        <f t="shared" si="11"/>
        <v>8.428302605168172</v>
      </c>
      <c r="X45" s="48">
        <f>W19*0.01*'data WL'!$B$7/R19</f>
        <v>0.005354708116900736</v>
      </c>
      <c r="Y45" s="50">
        <f>EXP(6.414+(17.26*'data WL'!AI45)/(237.2+'data WL'!AI45))*((100-0)/100)</f>
        <v>6851.727716684592</v>
      </c>
      <c r="Z45" s="50">
        <f>EXP(6.414+(17.26*'Settings WL'!C31)/(237.2+'Settings WL'!C31))*(('Settings WL'!B31)/100)</f>
        <v>3599.7815922698114</v>
      </c>
      <c r="AA45" s="50">
        <f t="shared" si="8"/>
        <v>3251.946124414781</v>
      </c>
      <c r="AC45" s="48">
        <f>('data WL'!S45/6)*(1+(2*'data WL'!R45)/('data WL'!W45*'data WL'!$B$7*0.01))</f>
        <v>0.8484470114254433</v>
      </c>
      <c r="AE45" s="48">
        <f>'Settings WL'!C31</f>
        <v>37.8</v>
      </c>
      <c r="AF45" s="48">
        <f t="shared" si="12"/>
        <v>0.8484470114254433</v>
      </c>
      <c r="AG45" s="48">
        <f t="shared" si="13"/>
        <v>-0.14174366766618846</v>
      </c>
      <c r="AH45" s="48">
        <f t="shared" si="9"/>
        <v>0.7067033437592549</v>
      </c>
      <c r="AI45" s="48">
        <f>'data WL'!AC45+'Settings WL'!C31</f>
        <v>38.64844701142544</v>
      </c>
      <c r="AJ45" s="48">
        <f t="shared" si="14"/>
        <v>38.64844701142544</v>
      </c>
      <c r="AK45" s="48">
        <f>AVERAGE('data ET'!AJ19,AI45)</f>
        <v>38.602939754573455</v>
      </c>
      <c r="AL45" s="48"/>
      <c r="AM45" s="28">
        <v>15</v>
      </c>
      <c r="AN45" s="28">
        <v>116.27356274151796</v>
      </c>
      <c r="AO45" s="47">
        <f>'Settings ET'!E57+'Settings ET'!F57</f>
        <v>0</v>
      </c>
    </row>
    <row r="46" spans="1:41" ht="12.75">
      <c r="A46" s="47" t="s">
        <v>89</v>
      </c>
      <c r="B46" s="54">
        <f>B20</f>
        <v>155.3777177248243</v>
      </c>
      <c r="C46" s="47" t="s">
        <v>11</v>
      </c>
      <c r="H46" s="47">
        <v>16</v>
      </c>
      <c r="I46" s="50"/>
      <c r="J46" s="50">
        <f>('Settings WL'!E32)/('data WL'!$B$9/1000)</f>
        <v>2268.27781873716</v>
      </c>
      <c r="K46" s="50">
        <f t="shared" si="7"/>
        <v>2268.27781873716</v>
      </c>
      <c r="L46" s="50">
        <f>'data WL'!AA46</f>
        <v>3312.504626819394</v>
      </c>
      <c r="M46" s="51">
        <f>'Settings WL'!D32/('Settings WL'!$B$6*L20)</f>
        <v>2.024754668782253E-06</v>
      </c>
      <c r="N46" s="51">
        <f>M46/(4.68*'Settings ET'!$B$6^-0.33)</f>
        <v>1.6707692307692316E-06</v>
      </c>
      <c r="O46" s="48">
        <f>'data ET'!$B$15/'data ET'!$B$16</f>
        <v>2.0833333333333335</v>
      </c>
      <c r="P46" s="48">
        <f>(('Settings ET'!$B$7/100)*(0.01*'data ET'!$B$7*2))/'data ET'!$B$15</f>
        <v>194.49469192193212</v>
      </c>
      <c r="Q46" s="48">
        <f t="shared" si="10"/>
        <v>15.178334431638902</v>
      </c>
      <c r="R46" s="48">
        <f>IF('Settings ET'!E32/'data ET'!$B$20*'data ET'!$B$19&lt;'data ET'!$B$18,'data ET'!$B$18,('Settings ET'!E32/'data ET'!$B$20*'data ET'!$B$19))</f>
        <v>45.02169870569395</v>
      </c>
      <c r="S46" s="52">
        <f>((('data WL'!J46+K20)*('data WL'!$B$7*0.01)^2))/(R46*('data WL'!$B$23+'data WL'!$B$24*'data WL'!$B$22))</f>
        <v>0.013787661315101769</v>
      </c>
      <c r="T46" s="53">
        <f>0.622*EXP(6.414+((17.26*'Settings WL'!C32*'Settings WL'!B32/100)/(237.2+'Settings WL'!C32*'Settings WL'!B32/100)))/('data WL'!$B$21-EXP(6.414+((17.26*'Settings WL'!C32)/(237.2+'Settings WL'!C32))))</f>
        <v>0.016095114800355217</v>
      </c>
      <c r="U46" s="54">
        <f>1.005*'Settings WL'!C32+2500*'data WL'!T20+1.86*'data WL'!T20*'Settings WL'!C32</f>
        <v>79.35840233227141</v>
      </c>
      <c r="V46" s="47">
        <f t="shared" si="11"/>
        <v>0.027</v>
      </c>
      <c r="W46" s="48">
        <f t="shared" si="11"/>
        <v>8.428302605168172</v>
      </c>
      <c r="X46" s="48">
        <f>W20*0.01*'data WL'!$B$7/R20</f>
        <v>0.0045513057196398116</v>
      </c>
      <c r="Y46" s="50">
        <f>EXP(6.414+(17.26*'data WL'!AI46)/(237.2+'data WL'!AI46))*((100-0)/100)</f>
        <v>6912.286219089206</v>
      </c>
      <c r="Z46" s="50">
        <f>EXP(6.414+(17.26*'Settings WL'!C32)/(237.2+'Settings WL'!C32))*(('Settings WL'!B32)/100)</f>
        <v>3599.7815922698114</v>
      </c>
      <c r="AA46" s="50">
        <f t="shared" si="8"/>
        <v>3312.504626819394</v>
      </c>
      <c r="AC46" s="48">
        <f>('data WL'!S46/6)*(1+(2*'data WL'!R46)/('data WL'!W46*'data WL'!$B$7*0.01))</f>
        <v>1.0120932392633137</v>
      </c>
      <c r="AE46" s="48">
        <f>'Settings WL'!C32</f>
        <v>37.8</v>
      </c>
      <c r="AF46" s="48">
        <f t="shared" si="12"/>
        <v>1.0120932392633137</v>
      </c>
      <c r="AG46" s="48">
        <f t="shared" si="13"/>
        <v>-0.14174366766618846</v>
      </c>
      <c r="AH46" s="48">
        <f t="shared" si="9"/>
        <v>0.8703495715971252</v>
      </c>
      <c r="AI46" s="48">
        <f>'data WL'!AC46+'Settings WL'!C32</f>
        <v>38.81209323926331</v>
      </c>
      <c r="AJ46" s="48">
        <f t="shared" si="14"/>
        <v>38.81209323926331</v>
      </c>
      <c r="AK46" s="48">
        <f>AVERAGE('data ET'!AJ20,AI46)</f>
        <v>38.73246350830011</v>
      </c>
      <c r="AL46" s="48"/>
      <c r="AM46" s="28">
        <v>16</v>
      </c>
      <c r="AN46" s="28">
        <v>136.79832306282566</v>
      </c>
      <c r="AO46" s="47">
        <f>'Settings ET'!E58+'Settings ET'!F58</f>
        <v>0</v>
      </c>
    </row>
    <row r="47" spans="1:41" ht="12.75">
      <c r="A47" s="47" t="s">
        <v>29</v>
      </c>
      <c r="B47" s="47">
        <v>101325</v>
      </c>
      <c r="C47" s="47" t="s">
        <v>30</v>
      </c>
      <c r="H47" s="47">
        <v>17</v>
      </c>
      <c r="I47" s="50"/>
      <c r="J47" s="50">
        <f>('Settings WL'!E33)/('data WL'!$B$9/1000)</f>
        <v>2416.6699854831227</v>
      </c>
      <c r="K47" s="50">
        <f t="shared" si="7"/>
        <v>2416.6699854831227</v>
      </c>
      <c r="L47" s="50">
        <f>'data WL'!AA47</f>
        <v>3339.05358103379</v>
      </c>
      <c r="M47" s="51">
        <f>'Settings WL'!D33/('Settings WL'!$B$6*L21)</f>
        <v>2.024754668782253E-06</v>
      </c>
      <c r="N47" s="51">
        <f>M47/(4.68*'Settings ET'!$B$6^-0.33)</f>
        <v>1.6707692307692316E-06</v>
      </c>
      <c r="O47" s="48">
        <f>'data ET'!$B$15/'data ET'!$B$16</f>
        <v>2.0833333333333335</v>
      </c>
      <c r="P47" s="48">
        <f>(('Settings ET'!$B$7/100)*(0.01*'data ET'!$B$7*2))/'data ET'!$B$15</f>
        <v>194.49469192193212</v>
      </c>
      <c r="Q47" s="48">
        <f t="shared" si="10"/>
        <v>15.178334431638902</v>
      </c>
      <c r="R47" s="48">
        <f>IF('Settings ET'!E33/'data ET'!$B$20*'data ET'!$B$19&lt;'data ET'!$B$18,'data ET'!$B$18,('Settings ET'!E33/'data ET'!$B$20*'data ET'!$B$19))</f>
        <v>47.967046654844786</v>
      </c>
      <c r="S47" s="52">
        <f>((('data WL'!J47+K21)*('data WL'!$B$7*0.01)^2))/(R47*('data WL'!$B$23+'data WL'!$B$24*'data WL'!$B$22))</f>
        <v>0.01385531770559076</v>
      </c>
      <c r="T47" s="53">
        <f>0.622*EXP(6.414+((17.26*'Settings WL'!C33*'Settings WL'!B33/100)/(237.2+'Settings WL'!C33*'Settings WL'!B33/100)))/('data WL'!$B$21-EXP(6.414+((17.26*'Settings WL'!C33)/(237.2+'Settings WL'!C33))))</f>
        <v>0.016095114800355217</v>
      </c>
      <c r="U47" s="54">
        <f>1.005*'Settings WL'!C33+2500*'data WL'!T21+1.86*'data WL'!T21*'Settings WL'!C33</f>
        <v>79.35840233227141</v>
      </c>
      <c r="V47" s="47">
        <f t="shared" si="11"/>
        <v>0.027</v>
      </c>
      <c r="W47" s="48">
        <f t="shared" si="11"/>
        <v>8.428302605168172</v>
      </c>
      <c r="X47" s="48">
        <f>W21*0.01*'data WL'!$B$7/R21</f>
        <v>0.004271839296289655</v>
      </c>
      <c r="Y47" s="50">
        <f>EXP(6.414+(17.26*'data WL'!AI47)/(237.2+'data WL'!AI47))*((100-0)/100)</f>
        <v>6938.835173303602</v>
      </c>
      <c r="Z47" s="50">
        <f>EXP(6.414+(17.26*'Settings WL'!C33)/(237.2+'Settings WL'!C33))*(('Settings WL'!B33)/100)</f>
        <v>3599.7815922698114</v>
      </c>
      <c r="AA47" s="50">
        <f t="shared" si="8"/>
        <v>3339.05358103379</v>
      </c>
      <c r="AC47" s="48">
        <f>('data WL'!S47/6)*(1+(2*'data WL'!R47)/('data WL'!W47*'data WL'!$B$7*0.01))</f>
        <v>1.0834452162849613</v>
      </c>
      <c r="AE47" s="48">
        <f>'Settings WL'!C33</f>
        <v>37.8</v>
      </c>
      <c r="AF47" s="48">
        <f t="shared" si="12"/>
        <v>1.0834452162849613</v>
      </c>
      <c r="AG47" s="48">
        <f t="shared" si="13"/>
        <v>-0.14174366766618846</v>
      </c>
      <c r="AH47" s="48">
        <f t="shared" si="9"/>
        <v>0.9417015486187728</v>
      </c>
      <c r="AI47" s="48">
        <f>'data WL'!AC47+'Settings WL'!C33</f>
        <v>38.88344521628496</v>
      </c>
      <c r="AJ47" s="48">
        <f t="shared" si="14"/>
        <v>38.88344521628496</v>
      </c>
      <c r="AK47" s="48">
        <f>AVERAGE('data ET'!AJ21,AI47)</f>
        <v>38.77548302048973</v>
      </c>
      <c r="AL47" s="48"/>
      <c r="AM47" s="28">
        <v>17</v>
      </c>
      <c r="AN47" s="28">
        <v>145.7477557111635</v>
      </c>
      <c r="AO47" s="47">
        <f>'Settings ET'!E59+'Settings ET'!F59</f>
        <v>0</v>
      </c>
    </row>
    <row r="48" spans="1:41" ht="12.75">
      <c r="A48" s="47" t="s">
        <v>46</v>
      </c>
      <c r="B48" s="48">
        <v>0</v>
      </c>
      <c r="C48" s="48">
        <f>'data ET'!AF31</f>
        <v>0</v>
      </c>
      <c r="H48" s="47">
        <v>18</v>
      </c>
      <c r="I48" s="50"/>
      <c r="J48" s="50">
        <f>('Settings WL'!E34)/('data WL'!$B$9/1000)</f>
        <v>2519.093996835673</v>
      </c>
      <c r="K48" s="50">
        <f t="shared" si="7"/>
        <v>2519.093996835673</v>
      </c>
      <c r="L48" s="50">
        <f>'data WL'!AA48</f>
        <v>3357.429466046688</v>
      </c>
      <c r="M48" s="51">
        <f>'Settings WL'!D34/('Settings WL'!$B$6*L22)</f>
        <v>2.024754668782253E-06</v>
      </c>
      <c r="N48" s="51">
        <f>M48/(4.68*'Settings ET'!$B$6^-0.33)</f>
        <v>1.6707692307692316E-06</v>
      </c>
      <c r="O48" s="48">
        <f>'data ET'!$B$15/'data ET'!$B$16</f>
        <v>2.0833333333333335</v>
      </c>
      <c r="P48" s="48">
        <f>(('Settings ET'!$B$7/100)*(0.01*'data ET'!$B$7*2))/'data ET'!$B$15</f>
        <v>194.49469192193212</v>
      </c>
      <c r="Q48" s="48">
        <f t="shared" si="10"/>
        <v>15.178334431638902</v>
      </c>
      <c r="R48" s="48">
        <f>IF('Settings ET'!E34/'data ET'!$B$20*'data ET'!$B$19&lt;'data ET'!$B$18,'data ET'!$B$18,('Settings ET'!E34/'data ET'!$B$20*'data ET'!$B$19))</f>
        <v>50</v>
      </c>
      <c r="S48" s="52">
        <f>((('data WL'!J48+K22)*('data WL'!$B$7*0.01)^2))/(R48*('data WL'!$B$23+'data WL'!$B$24*'data WL'!$B$22))</f>
        <v>0.013897366301803741</v>
      </c>
      <c r="T48" s="53">
        <f>0.622*EXP(6.414+((17.26*'Settings WL'!C34*'Settings WL'!B34/100)/(237.2+'Settings WL'!C34*'Settings WL'!B34/100)))/('data WL'!$B$21-EXP(6.414+((17.26*'Settings WL'!C34)/(237.2+'Settings WL'!C34))))</f>
        <v>0.016095114800355217</v>
      </c>
      <c r="U48" s="54">
        <f>1.005*'Settings WL'!C34+2500*'data WL'!T22+1.86*'data WL'!T22*'Settings WL'!C34</f>
        <v>79.35840233227141</v>
      </c>
      <c r="V48" s="47">
        <f>V47</f>
        <v>0.027</v>
      </c>
      <c r="W48" s="48">
        <f>W47</f>
        <v>8.428302605168172</v>
      </c>
      <c r="X48" s="48">
        <f>W22*0.01*'data WL'!$B$7/R22</f>
        <v>0.004098150296542504</v>
      </c>
      <c r="Y48" s="50">
        <f>EXP(6.414+(17.26*'data WL'!AI48)/(237.2+'data WL'!AI48))*((100-0)/100)</f>
        <v>6957.2110583164995</v>
      </c>
      <c r="Z48" s="50">
        <f>EXP(6.414+(17.26*'Settings WL'!C34)/(237.2+'Settings WL'!C34))*(('Settings WL'!B34)/100)</f>
        <v>3599.7815922698114</v>
      </c>
      <c r="AA48" s="50">
        <f t="shared" si="8"/>
        <v>3357.429466046688</v>
      </c>
      <c r="AC48" s="48">
        <f>('data WL'!S48/6)*(1+(2*'data WL'!R48)/('data WL'!W48*'data WL'!$B$7*0.01))</f>
        <v>1.1326933731922946</v>
      </c>
      <c r="AE48" s="48">
        <f>'Settings WL'!C34</f>
        <v>37.8</v>
      </c>
      <c r="AF48" s="48">
        <f t="shared" si="12"/>
        <v>1.1326933731922946</v>
      </c>
      <c r="AG48" s="48">
        <f t="shared" si="13"/>
        <v>-0.14174366766618846</v>
      </c>
      <c r="AH48" s="48">
        <f t="shared" si="9"/>
        <v>0.9909497055261061</v>
      </c>
      <c r="AI48" s="48">
        <f>'data WL'!AC48+'Settings WL'!C34</f>
        <v>38.93269337319229</v>
      </c>
      <c r="AJ48" s="48">
        <f t="shared" si="14"/>
        <v>38.93269337319229</v>
      </c>
      <c r="AK48" s="48">
        <f>AVERAGE('data ET'!AJ22,AI48)</f>
        <v>38.81834900778523</v>
      </c>
      <c r="AL48" s="48"/>
      <c r="AM48" s="28">
        <v>18</v>
      </c>
      <c r="AN48" s="28">
        <v>151.92487955316153</v>
      </c>
      <c r="AO48" s="47">
        <f>'Settings ET'!E60+'Settings ET'!F60</f>
        <v>0</v>
      </c>
    </row>
    <row r="49" spans="1:40" ht="12.75">
      <c r="A49" s="47" t="s">
        <v>32</v>
      </c>
      <c r="B49" s="47">
        <v>1</v>
      </c>
      <c r="H49" s="47">
        <v>19</v>
      </c>
      <c r="I49" s="50"/>
      <c r="J49" s="50"/>
      <c r="K49" s="50"/>
      <c r="L49" s="51"/>
      <c r="M49" s="51"/>
      <c r="N49" s="48"/>
      <c r="AM49" s="28"/>
      <c r="AN49" s="28"/>
    </row>
    <row r="50" spans="1:40" ht="12.75">
      <c r="A50" s="47" t="s">
        <v>42</v>
      </c>
      <c r="B50" s="47">
        <v>1</v>
      </c>
      <c r="C50" s="47" t="s">
        <v>43</v>
      </c>
      <c r="D50" s="47" t="s">
        <v>52</v>
      </c>
      <c r="H50" s="47">
        <v>20</v>
      </c>
      <c r="J50" s="50"/>
      <c r="K50" s="50"/>
      <c r="L50" s="51"/>
      <c r="M50" s="51"/>
      <c r="N50" s="48"/>
      <c r="AM50" s="28"/>
      <c r="AN50" s="28"/>
    </row>
  </sheetData>
  <sheetProtection password="998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Praktijkonderzoek Veehouderij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 BIOSTATISTICS</dc:title>
  <dc:subject/>
  <dc:creator>Lourens</dc:creator>
  <cp:keywords/>
  <dc:description/>
  <cp:lastModifiedBy>Lourens, Sander</cp:lastModifiedBy>
  <cp:lastPrinted>2004-04-21T12:35:52Z</cp:lastPrinted>
  <dcterms:created xsi:type="dcterms:W3CDTF">2001-12-12T13:21:27Z</dcterms:created>
  <dcterms:modified xsi:type="dcterms:W3CDTF">2020-10-12T09:06:51Z</dcterms:modified>
  <cp:category/>
  <cp:version/>
  <cp:contentType/>
  <cp:contentStatus/>
</cp:coreProperties>
</file>